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Sheet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color rgb="000563C1"/>
      <u val="single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L896"/>
  <sheetViews>
    <sheetView workbookViewId="0">
      <selection activeCell="A1" sqref="A1"/>
    </sheetView>
  </sheetViews>
  <sheetFormatPr baseColWidth="8" defaultRowHeight="15"/>
  <sheetData>
    <row r="1">
      <c r="A1" t="inlineStr">
        <is>
          <t>entry_id</t>
        </is>
      </c>
      <c r="B1" t="inlineStr">
        <is>
          <t>body</t>
        </is>
      </c>
      <c r="C1" t="inlineStr">
        <is>
          <t>ne_class</t>
        </is>
      </c>
      <c r="D1" t="inlineStr">
        <is>
          <t>latitude</t>
        </is>
      </c>
      <c r="E1" t="inlineStr">
        <is>
          <t>longitude</t>
        </is>
      </c>
      <c r="F1" t="inlineStr">
        <is>
          <t>description</t>
        </is>
      </c>
      <c r="G1" t="inlineStr">
        <is>
          <t>説明文</t>
        </is>
      </c>
      <c r="H1" t="inlineStr">
        <is>
          <t>備考</t>
        </is>
      </c>
      <c r="I1" t="inlineStr">
        <is>
          <t>沖縄県教育委員会編『琉球国絵図史料集』第１集の番号</t>
        </is>
      </c>
      <c r="J1" t="inlineStr">
        <is>
          <t>ジャパンナレッジID</t>
        </is>
      </c>
      <c r="K1" t="inlineStr">
        <is>
          <t>現在の地名</t>
        </is>
      </c>
      <c r="L1" t="inlineStr">
        <is>
          <t>source</t>
        </is>
      </c>
    </row>
    <row r="2">
      <c r="A2" t="inlineStr">
        <is>
          <t>10001</t>
        </is>
      </c>
      <c r="B2" t="inlineStr">
        <is>
          <t xml:space="preserve">
琉球国之内
高六千九百三拾弐石四斗　鬼界嶋
高壱万四百五拾五石五斗　大嶋
高壱万九石七斗　徳之嶋
高四千百五拾八石五斗　永良部嶋
高千弐百七拾弐石六斗　与論嶋
都合高三万弐千八百弐拾八石七斗</t>
        </is>
      </c>
      <c r="C2" t="inlineStr">
        <is>
          <t>畾紙</t>
        </is>
      </c>
      <c r="D2" t="inlineStr"/>
      <c r="E2" t="inlineStr"/>
      <c r="F2" t="inlineStr">
        <is>
          <t>正保琉球国絵図写</t>
        </is>
      </c>
      <c r="G2" t="inlineStr"/>
      <c r="H2" t="inlineStr"/>
      <c r="I2" t="inlineStr"/>
      <c r="J2" t="inlineStr"/>
      <c r="K2" t="inlineStr"/>
      <c r="L2" s="1">
        <f>HYPERLINK("https://www.hi.u-tokyo.ac.jp/collection/degitalgallary/ryukyu/item/10001", "https://www.hi.u-tokyo.ac.jp/collection/degitalgallary/ryukyu/item/10001")</f>
        <v/>
      </c>
    </row>
    <row r="3">
      <c r="A3" t="inlineStr">
        <is>
          <t>10002</t>
        </is>
      </c>
      <c r="B3" t="inlineStr">
        <is>
          <t>東</t>
        </is>
      </c>
      <c r="C3" t="inlineStr">
        <is>
          <t>方位</t>
        </is>
      </c>
      <c r="D3" t="inlineStr"/>
      <c r="E3" t="inlineStr"/>
      <c r="F3" t="inlineStr">
        <is>
          <t>正保琉球国絵図写</t>
        </is>
      </c>
      <c r="G3" t="inlineStr"/>
      <c r="H3" t="inlineStr"/>
      <c r="I3" t="inlineStr"/>
      <c r="J3" t="inlineStr"/>
      <c r="K3" t="inlineStr"/>
      <c r="L3" s="1">
        <f>HYPERLINK("https://www.hi.u-tokyo.ac.jp/collection/degitalgallary/ryukyu/item/10002", "https://www.hi.u-tokyo.ac.jp/collection/degitalgallary/ryukyu/item/10002")</f>
        <v/>
      </c>
    </row>
    <row r="4">
      <c r="A4" t="inlineStr">
        <is>
          <t>10003</t>
        </is>
      </c>
      <c r="B4" t="inlineStr">
        <is>
          <t>南</t>
        </is>
      </c>
      <c r="C4" t="inlineStr">
        <is>
          <t>方位</t>
        </is>
      </c>
      <c r="D4" t="inlineStr"/>
      <c r="E4" t="inlineStr"/>
      <c r="F4" t="inlineStr">
        <is>
          <t>正保琉球国絵図写</t>
        </is>
      </c>
      <c r="G4" t="inlineStr"/>
      <c r="H4" t="inlineStr"/>
      <c r="I4" t="inlineStr"/>
      <c r="J4" t="inlineStr"/>
      <c r="K4" t="inlineStr"/>
      <c r="L4" s="1">
        <f>HYPERLINK("https://www.hi.u-tokyo.ac.jp/collection/degitalgallary/ryukyu/item/10003", "https://www.hi.u-tokyo.ac.jp/collection/degitalgallary/ryukyu/item/10003")</f>
        <v/>
      </c>
    </row>
    <row r="5">
      <c r="A5" t="inlineStr">
        <is>
          <t>10004</t>
        </is>
      </c>
      <c r="B5" t="inlineStr">
        <is>
          <t>北</t>
        </is>
      </c>
      <c r="C5" t="inlineStr">
        <is>
          <t>方位</t>
        </is>
      </c>
      <c r="D5" t="inlineStr"/>
      <c r="E5" t="inlineStr"/>
      <c r="F5" t="inlineStr">
        <is>
          <t>正保琉球国絵図写</t>
        </is>
      </c>
      <c r="G5" t="inlineStr"/>
      <c r="H5" t="inlineStr"/>
      <c r="I5" t="inlineStr"/>
      <c r="J5" t="inlineStr"/>
      <c r="K5" t="inlineStr"/>
      <c r="L5" s="1">
        <f>HYPERLINK("https://www.hi.u-tokyo.ac.jp/collection/degitalgallary/ryukyu/item/10004", "https://www.hi.u-tokyo.ac.jp/collection/degitalgallary/ryukyu/item/10004")</f>
        <v/>
      </c>
    </row>
    <row r="6">
      <c r="A6" t="inlineStr">
        <is>
          <t>10005</t>
        </is>
      </c>
      <c r="B6" t="inlineStr">
        <is>
          <t>西</t>
        </is>
      </c>
      <c r="C6" t="inlineStr">
        <is>
          <t>方位</t>
        </is>
      </c>
      <c r="D6" t="inlineStr"/>
      <c r="E6" t="inlineStr"/>
      <c r="F6" t="inlineStr">
        <is>
          <t>正保琉球国絵図写</t>
        </is>
      </c>
      <c r="G6" t="inlineStr"/>
      <c r="H6" t="inlineStr"/>
      <c r="I6" t="inlineStr"/>
      <c r="J6" t="inlineStr"/>
      <c r="K6" t="inlineStr"/>
      <c r="L6" s="1">
        <f>HYPERLINK("https://www.hi.u-tokyo.ac.jp/collection/degitalgallary/ryukyu/item/10005", "https://www.hi.u-tokyo.ac.jp/collection/degitalgallary/ryukyu/item/10005")</f>
        <v/>
      </c>
    </row>
    <row r="7">
      <c r="A7" t="inlineStr">
        <is>
          <t>10006</t>
        </is>
      </c>
      <c r="B7" t="inlineStr">
        <is>
          <t>志戸桶間切</t>
        </is>
      </c>
      <c r="C7" t="inlineStr">
        <is>
          <t>間切</t>
        </is>
      </c>
      <c r="D7" t="inlineStr"/>
      <c r="E7" t="inlineStr"/>
      <c r="F7" t="inlineStr">
        <is>
          <t>正保琉球国絵図写</t>
        </is>
      </c>
      <c r="G7" t="inlineStr">
        <is>
          <t>七百十弐石余</t>
        </is>
      </c>
      <c r="H7" t="inlineStr"/>
      <c r="I7" t="inlineStr">
        <is>
          <t>〔1〕</t>
        </is>
      </c>
      <c r="J7" t="inlineStr">
        <is>
          <t>30020470000237100</t>
        </is>
      </c>
      <c r="K7" t="inlineStr"/>
      <c r="L7" s="1">
        <f>HYPERLINK("https://www.hi.u-tokyo.ac.jp/collection/degitalgallary/ryukyu/item/10006", "https://www.hi.u-tokyo.ac.jp/collection/degitalgallary/ryukyu/item/10006")</f>
        <v/>
      </c>
    </row>
    <row r="8">
      <c r="A8" t="inlineStr">
        <is>
          <t>10007</t>
        </is>
      </c>
      <c r="B8" t="inlineStr">
        <is>
          <t>東間切</t>
        </is>
      </c>
      <c r="C8" t="inlineStr">
        <is>
          <t>間切</t>
        </is>
      </c>
      <c r="D8" t="inlineStr"/>
      <c r="E8" t="inlineStr"/>
      <c r="F8" t="inlineStr">
        <is>
          <t>正保琉球国絵図写</t>
        </is>
      </c>
      <c r="G8" t="inlineStr">
        <is>
          <t>千九百八十六石余</t>
        </is>
      </c>
      <c r="H8" t="inlineStr"/>
      <c r="I8" t="inlineStr">
        <is>
          <t>〔2〕</t>
        </is>
      </c>
      <c r="J8" t="inlineStr">
        <is>
          <t>30020470000237000</t>
        </is>
      </c>
      <c r="K8" t="inlineStr"/>
      <c r="L8" s="1">
        <f>HYPERLINK("https://www.hi.u-tokyo.ac.jp/collection/degitalgallary/ryukyu/item/10007", "https://www.hi.u-tokyo.ac.jp/collection/degitalgallary/ryukyu/item/10007")</f>
        <v/>
      </c>
    </row>
    <row r="9">
      <c r="A9" t="inlineStr">
        <is>
          <t>10008</t>
        </is>
      </c>
      <c r="B9" t="inlineStr">
        <is>
          <t>西目間切之内いしやく村</t>
        </is>
      </c>
      <c r="C9" t="inlineStr">
        <is>
          <t>村</t>
        </is>
      </c>
      <c r="D9" t="inlineStr">
        <is>
          <t>28.3439714</t>
        </is>
      </c>
      <c r="E9" t="inlineStr">
        <is>
          <t>129.9838012</t>
        </is>
      </c>
      <c r="F9" t="inlineStr">
        <is>
          <t>正保琉球国絵図写</t>
        </is>
      </c>
      <c r="G9" t="inlineStr">
        <is>
          <t>いしやく村</t>
        </is>
      </c>
      <c r="H9" t="inlineStr"/>
      <c r="I9" t="inlineStr">
        <is>
          <t>〔3〕</t>
        </is>
      </c>
      <c r="J9" t="inlineStr"/>
      <c r="K9" t="inlineStr">
        <is>
          <t>鹿児島県大島郡喜界町伊砂</t>
        </is>
      </c>
      <c r="L9" s="1">
        <f>HYPERLINK("https://www.hi.u-tokyo.ac.jp/collection/degitalgallary/ryukyu/item/10008", "https://www.hi.u-tokyo.ac.jp/collection/degitalgallary/ryukyu/item/10008")</f>
        <v/>
      </c>
    </row>
    <row r="10">
      <c r="A10" t="inlineStr">
        <is>
          <t>10009</t>
        </is>
      </c>
      <c r="B10" t="inlineStr">
        <is>
          <t>西目間切</t>
        </is>
      </c>
      <c r="C10" t="inlineStr">
        <is>
          <t>間切</t>
        </is>
      </c>
      <c r="D10" t="inlineStr"/>
      <c r="E10" t="inlineStr"/>
      <c r="F10" t="inlineStr">
        <is>
          <t>正保琉球国絵図写</t>
        </is>
      </c>
      <c r="G10" t="inlineStr">
        <is>
          <t>千五十石余</t>
        </is>
      </c>
      <c r="H10" t="inlineStr"/>
      <c r="I10" t="inlineStr">
        <is>
          <t>〔4〕</t>
        </is>
      </c>
      <c r="J10" t="inlineStr">
        <is>
          <t>30020470000236800</t>
        </is>
      </c>
      <c r="K10" t="inlineStr"/>
      <c r="L10" s="1">
        <f>HYPERLINK("https://www.hi.u-tokyo.ac.jp/collection/degitalgallary/ryukyu/item/10009", "https://www.hi.u-tokyo.ac.jp/collection/degitalgallary/ryukyu/item/10009")</f>
        <v/>
      </c>
    </row>
    <row r="11">
      <c r="A11" t="inlineStr">
        <is>
          <t>10010</t>
        </is>
      </c>
      <c r="B11" t="inlineStr">
        <is>
          <t>わん間切</t>
        </is>
      </c>
      <c r="C11" t="inlineStr">
        <is>
          <t>間切</t>
        </is>
      </c>
      <c r="D11" t="inlineStr"/>
      <c r="E11" t="inlineStr"/>
      <c r="F11" t="inlineStr">
        <is>
          <t>正保琉球国絵図写</t>
        </is>
      </c>
      <c r="G11" t="inlineStr">
        <is>
          <t>千八百六拾弐石余</t>
        </is>
      </c>
      <c r="H11" t="inlineStr"/>
      <c r="I11" t="inlineStr">
        <is>
          <t>〔5〕</t>
        </is>
      </c>
      <c r="J11" t="inlineStr"/>
      <c r="K11" t="inlineStr"/>
      <c r="L11" s="1">
        <f>HYPERLINK("https://www.hi.u-tokyo.ac.jp/collection/degitalgallary/ryukyu/item/10010", "https://www.hi.u-tokyo.ac.jp/collection/degitalgallary/ryukyu/item/10010")</f>
        <v/>
      </c>
    </row>
    <row r="12">
      <c r="A12" t="inlineStr">
        <is>
          <t>10011</t>
        </is>
      </c>
      <c r="B12" t="inlineStr">
        <is>
          <t>荒木間切</t>
        </is>
      </c>
      <c r="C12" t="inlineStr">
        <is>
          <t>間切</t>
        </is>
      </c>
      <c r="D12" t="inlineStr"/>
      <c r="E12" t="inlineStr"/>
      <c r="F12" t="inlineStr">
        <is>
          <t>正保琉球国絵図写</t>
        </is>
      </c>
      <c r="G12" t="inlineStr">
        <is>
          <t>千三百廿弐石余</t>
        </is>
      </c>
      <c r="H12" t="inlineStr"/>
      <c r="I12" t="inlineStr">
        <is>
          <t>〔6〕</t>
        </is>
      </c>
      <c r="J12" t="inlineStr">
        <is>
          <t>30020470000236700</t>
        </is>
      </c>
      <c r="K12" t="inlineStr"/>
      <c r="L12" s="1">
        <f>HYPERLINK("https://www.hi.u-tokyo.ac.jp/collection/degitalgallary/ryukyu/item/10011", "https://www.hi.u-tokyo.ac.jp/collection/degitalgallary/ryukyu/item/10011")</f>
        <v/>
      </c>
    </row>
    <row r="13">
      <c r="A13" t="inlineStr">
        <is>
          <t>10012</t>
        </is>
      </c>
      <c r="B13" t="inlineStr">
        <is>
          <t>荒木間切之内しつる村</t>
        </is>
      </c>
      <c r="C13" t="inlineStr">
        <is>
          <t>村</t>
        </is>
      </c>
      <c r="D13" t="inlineStr">
        <is>
          <t>28.2832959</t>
        </is>
      </c>
      <c r="E13" t="inlineStr">
        <is>
          <t>129.9478595</t>
        </is>
      </c>
      <c r="F13" t="inlineStr">
        <is>
          <t>正保琉球国絵図写</t>
        </is>
      </c>
      <c r="G13" t="inlineStr">
        <is>
          <t>しつる村</t>
        </is>
      </c>
      <c r="H13" t="inlineStr"/>
      <c r="I13" t="inlineStr">
        <is>
          <t>〔7〕</t>
        </is>
      </c>
      <c r="J13" t="inlineStr"/>
      <c r="K13" t="inlineStr">
        <is>
          <t>鹿児島県大島郡喜界町上嘉鉄</t>
        </is>
      </c>
      <c r="L13" s="1">
        <f>HYPERLINK("https://www.hi.u-tokyo.ac.jp/collection/degitalgallary/ryukyu/item/10012", "https://www.hi.u-tokyo.ac.jp/collection/degitalgallary/ryukyu/item/10012")</f>
        <v/>
      </c>
    </row>
    <row r="14">
      <c r="A14" t="inlineStr">
        <is>
          <t>10013</t>
        </is>
      </c>
      <c r="B14" t="inlineStr">
        <is>
          <t>笠利間切之内かとく村</t>
        </is>
      </c>
      <c r="C14" t="inlineStr">
        <is>
          <t>村</t>
        </is>
      </c>
      <c r="D14" t="inlineStr">
        <is>
          <t>28.4450066</t>
        </is>
      </c>
      <c r="E14" t="inlineStr">
        <is>
          <t>129.5743519</t>
        </is>
      </c>
      <c r="F14" t="inlineStr">
        <is>
          <t>正保琉球国絵図写</t>
        </is>
      </c>
      <c r="G14" t="inlineStr">
        <is>
          <t>かとく村</t>
        </is>
      </c>
      <c r="H14" t="inlineStr"/>
      <c r="I14" t="inlineStr">
        <is>
          <t>〔8〕</t>
        </is>
      </c>
      <c r="J14" t="inlineStr"/>
      <c r="K14" t="inlineStr">
        <is>
          <t>鹿児島県大島郡龍郷町嘉渡</t>
        </is>
      </c>
      <c r="L14" s="1">
        <f>HYPERLINK("https://www.hi.u-tokyo.ac.jp/collection/degitalgallary/ryukyu/item/10013", "https://www.hi.u-tokyo.ac.jp/collection/degitalgallary/ryukyu/item/10013")</f>
        <v/>
      </c>
    </row>
    <row r="15">
      <c r="A15" t="inlineStr">
        <is>
          <t>10014</t>
        </is>
      </c>
      <c r="B15" t="inlineStr">
        <is>
          <t>笠利間切之内喜瀬村</t>
        </is>
      </c>
      <c r="C15" t="inlineStr">
        <is>
          <t>村</t>
        </is>
      </c>
      <c r="D15" t="inlineStr">
        <is>
          <t>28.4228207</t>
        </is>
      </c>
      <c r="E15" t="inlineStr">
        <is>
          <t>129.6595576</t>
        </is>
      </c>
      <c r="F15" t="inlineStr">
        <is>
          <t>正保琉球国絵図写</t>
        </is>
      </c>
      <c r="G15" t="inlineStr">
        <is>
          <t>喜瀬村</t>
        </is>
      </c>
      <c r="H15" t="inlineStr"/>
      <c r="I15" t="inlineStr">
        <is>
          <t>〔9〕</t>
        </is>
      </c>
      <c r="J15" t="inlineStr"/>
      <c r="K15" t="inlineStr">
        <is>
          <t>鹿児島県奄美市笠利町大字喜瀬</t>
        </is>
      </c>
      <c r="L15" s="1">
        <f>HYPERLINK("https://www.hi.u-tokyo.ac.jp/collection/degitalgallary/ryukyu/item/10014", "https://www.hi.u-tokyo.ac.jp/collection/degitalgallary/ryukyu/item/10014")</f>
        <v/>
      </c>
    </row>
    <row r="16">
      <c r="A16" t="inlineStr">
        <is>
          <t>10015</t>
        </is>
      </c>
      <c r="B16" t="inlineStr">
        <is>
          <t>笠利間切之内あかきな村</t>
        </is>
      </c>
      <c r="C16" t="inlineStr">
        <is>
          <t>村</t>
        </is>
      </c>
      <c r="D16" t="inlineStr"/>
      <c r="E16" t="inlineStr"/>
      <c r="F16" t="inlineStr">
        <is>
          <t>正保琉球国絵図写</t>
        </is>
      </c>
      <c r="G16" t="inlineStr">
        <is>
          <t>あかきな村</t>
        </is>
      </c>
      <c r="H16" t="inlineStr"/>
      <c r="I16" t="inlineStr">
        <is>
          <t>〔10〕</t>
        </is>
      </c>
      <c r="J16" t="inlineStr"/>
      <c r="K16" t="inlineStr"/>
      <c r="L16" s="1">
        <f>HYPERLINK("https://www.hi.u-tokyo.ac.jp/collection/degitalgallary/ryukyu/item/10015", "https://www.hi.u-tokyo.ac.jp/collection/degitalgallary/ryukyu/item/10015")</f>
        <v/>
      </c>
    </row>
    <row r="17">
      <c r="A17" t="inlineStr">
        <is>
          <t>10016</t>
        </is>
      </c>
      <c r="B17" t="inlineStr">
        <is>
          <t>笠利間切之内やん村</t>
        </is>
      </c>
      <c r="C17" t="inlineStr">
        <is>
          <t>村</t>
        </is>
      </c>
      <c r="D17" t="inlineStr">
        <is>
          <t>28.4980331</t>
        </is>
      </c>
      <c r="E17" t="inlineStr">
        <is>
          <t>129.654397</t>
        </is>
      </c>
      <c r="F17" t="inlineStr">
        <is>
          <t>正保琉球国絵図写</t>
        </is>
      </c>
      <c r="G17" t="inlineStr">
        <is>
          <t>やん村</t>
        </is>
      </c>
      <c r="H17" t="inlineStr"/>
      <c r="I17" t="inlineStr">
        <is>
          <t>〔11〕</t>
        </is>
      </c>
      <c r="J17" t="inlineStr"/>
      <c r="K17" t="inlineStr">
        <is>
          <t>鹿児島県奄美市笠利町大字屋仁</t>
        </is>
      </c>
      <c r="L17" s="1">
        <f>HYPERLINK("https://www.hi.u-tokyo.ac.jp/collection/degitalgallary/ryukyu/item/10016", "https://www.hi.u-tokyo.ac.jp/collection/degitalgallary/ryukyu/item/10016")</f>
        <v/>
      </c>
    </row>
    <row r="18">
      <c r="A18" t="inlineStr">
        <is>
          <t>10017</t>
        </is>
      </c>
      <c r="B18" t="inlineStr">
        <is>
          <t>笠利間切</t>
        </is>
      </c>
      <c r="C18" t="inlineStr">
        <is>
          <t>間切</t>
        </is>
      </c>
      <c r="D18" t="inlineStr"/>
      <c r="E18" t="inlineStr"/>
      <c r="F18" t="inlineStr">
        <is>
          <t>正保琉球国絵図写</t>
        </is>
      </c>
      <c r="G18" t="inlineStr">
        <is>
          <t>千弐石余</t>
        </is>
      </c>
      <c r="H18" t="inlineStr"/>
      <c r="I18" t="inlineStr">
        <is>
          <t>〔12〕</t>
        </is>
      </c>
      <c r="J18" t="inlineStr">
        <is>
          <t>30020470000240800</t>
        </is>
      </c>
      <c r="K18" t="inlineStr"/>
      <c r="L18" s="1">
        <f>HYPERLINK("https://www.hi.u-tokyo.ac.jp/collection/degitalgallary/ryukyu/item/10017", "https://www.hi.u-tokyo.ac.jp/collection/degitalgallary/ryukyu/item/10017")</f>
        <v/>
      </c>
    </row>
    <row r="19">
      <c r="A19" t="inlineStr">
        <is>
          <t>10018</t>
        </is>
      </c>
      <c r="B19" t="inlineStr">
        <is>
          <t>笠利間切之内うすく村</t>
        </is>
      </c>
      <c r="C19" t="inlineStr">
        <is>
          <t>村</t>
        </is>
      </c>
      <c r="D19" t="inlineStr">
        <is>
          <t>28.4556298</t>
        </is>
      </c>
      <c r="E19" t="inlineStr">
        <is>
          <t>129.7059838</t>
        </is>
      </c>
      <c r="F19" t="inlineStr">
        <is>
          <t>正保琉球国絵図写</t>
        </is>
      </c>
      <c r="G19" t="inlineStr">
        <is>
          <t>うすく村</t>
        </is>
      </c>
      <c r="H19" t="inlineStr"/>
      <c r="I19" t="inlineStr">
        <is>
          <t>〔13〕</t>
        </is>
      </c>
      <c r="J19" t="inlineStr"/>
      <c r="K19" t="inlineStr">
        <is>
          <t>鹿児島県奄美市笠利町大字宇宿</t>
        </is>
      </c>
      <c r="L19" s="1">
        <f>HYPERLINK("https://www.hi.u-tokyo.ac.jp/collection/degitalgallary/ryukyu/item/10018", "https://www.hi.u-tokyo.ac.jp/collection/degitalgallary/ryukyu/item/10018")</f>
        <v/>
      </c>
    </row>
    <row r="20">
      <c r="A20" t="inlineStr">
        <is>
          <t>10019</t>
        </is>
      </c>
      <c r="B20" t="inlineStr">
        <is>
          <t>笠利間切之内せつた村</t>
        </is>
      </c>
      <c r="C20" t="inlineStr">
        <is>
          <t>村</t>
        </is>
      </c>
      <c r="D20" t="inlineStr">
        <is>
          <t>28.4187596</t>
        </is>
      </c>
      <c r="E20" t="inlineStr">
        <is>
          <t>129.6853543</t>
        </is>
      </c>
      <c r="F20" t="inlineStr">
        <is>
          <t>正保琉球国絵図写</t>
        </is>
      </c>
      <c r="G20" t="inlineStr">
        <is>
          <t>せつた村</t>
        </is>
      </c>
      <c r="H20" t="inlineStr"/>
      <c r="I20" t="inlineStr">
        <is>
          <t>〔14〕</t>
        </is>
      </c>
      <c r="J20" t="inlineStr"/>
      <c r="K20" t="inlineStr">
        <is>
          <t>鹿児島県奄美市笠利町大字節田</t>
        </is>
      </c>
      <c r="L20" s="1">
        <f>HYPERLINK("https://www.hi.u-tokyo.ac.jp/collection/degitalgallary/ryukyu/item/10019", "https://www.hi.u-tokyo.ac.jp/collection/degitalgallary/ryukyu/item/10019")</f>
        <v/>
      </c>
    </row>
    <row r="21">
      <c r="A21" t="inlineStr">
        <is>
          <t>10020</t>
        </is>
      </c>
      <c r="B21" t="inlineStr">
        <is>
          <t>笠利間切之内かしけん村</t>
        </is>
      </c>
      <c r="C21" t="inlineStr">
        <is>
          <t>村</t>
        </is>
      </c>
      <c r="D21" t="inlineStr">
        <is>
          <t>28.400282</t>
        </is>
      </c>
      <c r="E21" t="inlineStr">
        <is>
          <t>129.610219</t>
        </is>
      </c>
      <c r="F21" t="inlineStr">
        <is>
          <t>正保琉球国絵図写</t>
        </is>
      </c>
      <c r="G21" t="inlineStr">
        <is>
          <t>かしけん村</t>
        </is>
      </c>
      <c r="H21" t="inlineStr"/>
      <c r="I21" t="inlineStr">
        <is>
          <t>〔15〕</t>
        </is>
      </c>
      <c r="J21" t="inlineStr"/>
      <c r="K21" t="inlineStr">
        <is>
          <t>鹿児島県大島郡龍郷町赤尾木</t>
        </is>
      </c>
      <c r="L21" s="1">
        <f>HYPERLINK("https://www.hi.u-tokyo.ac.jp/collection/degitalgallary/ryukyu/item/10020", "https://www.hi.u-tokyo.ac.jp/collection/degitalgallary/ryukyu/item/10020")</f>
        <v/>
      </c>
    </row>
    <row r="22">
      <c r="A22" t="inlineStr">
        <is>
          <t>10021</t>
        </is>
      </c>
      <c r="B22" t="inlineStr">
        <is>
          <t>名瀬間切之内うら村</t>
        </is>
      </c>
      <c r="C22" t="inlineStr">
        <is>
          <t>村</t>
        </is>
      </c>
      <c r="D22" t="inlineStr">
        <is>
          <t>28.4073679</t>
        </is>
      </c>
      <c r="E22" t="inlineStr">
        <is>
          <t>129.5769356</t>
        </is>
      </c>
      <c r="F22" t="inlineStr">
        <is>
          <t>正保琉球国絵図写</t>
        </is>
      </c>
      <c r="G22" t="inlineStr">
        <is>
          <t>うら村</t>
        </is>
      </c>
      <c r="H22" t="inlineStr"/>
      <c r="I22" t="inlineStr">
        <is>
          <t>〔16〕</t>
        </is>
      </c>
      <c r="J22" t="inlineStr"/>
      <c r="K22" t="inlineStr">
        <is>
          <t>鹿児島県大島郡龍郷町浦</t>
        </is>
      </c>
      <c r="L22" s="1">
        <f>HYPERLINK("https://www.hi.u-tokyo.ac.jp/collection/degitalgallary/ryukyu/item/10021", "https://www.hi.u-tokyo.ac.jp/collection/degitalgallary/ryukyu/item/10021")</f>
        <v/>
      </c>
    </row>
    <row r="23">
      <c r="A23" t="inlineStr">
        <is>
          <t>10022</t>
        </is>
      </c>
      <c r="B23" t="inlineStr">
        <is>
          <t>名瀬間切</t>
        </is>
      </c>
      <c r="C23" t="inlineStr">
        <is>
          <t>間切</t>
        </is>
      </c>
      <c r="D23" t="inlineStr"/>
      <c r="E23" t="inlineStr"/>
      <c r="F23" t="inlineStr">
        <is>
          <t>正保琉球国絵図写</t>
        </is>
      </c>
      <c r="G23" t="inlineStr">
        <is>
          <t>千四百十九石余</t>
        </is>
      </c>
      <c r="H23" t="inlineStr"/>
      <c r="I23" t="inlineStr">
        <is>
          <t>〔17〕</t>
        </is>
      </c>
      <c r="J23" t="inlineStr">
        <is>
          <t>30020470000244300</t>
        </is>
      </c>
      <c r="K23" t="inlineStr"/>
      <c r="L23" s="1">
        <f>HYPERLINK("https://www.hi.u-tokyo.ac.jp/collection/degitalgallary/ryukyu/item/10022", "https://www.hi.u-tokyo.ac.jp/collection/degitalgallary/ryukyu/item/10022")</f>
        <v/>
      </c>
    </row>
    <row r="24">
      <c r="A24" t="inlineStr">
        <is>
          <t>10023</t>
        </is>
      </c>
      <c r="B24" t="inlineStr">
        <is>
          <t>名瀬間切之内小敷村</t>
        </is>
      </c>
      <c r="C24" t="inlineStr">
        <is>
          <t>村</t>
        </is>
      </c>
      <c r="D24" t="inlineStr">
        <is>
          <t>28.38268</t>
        </is>
      </c>
      <c r="E24" t="inlineStr">
        <is>
          <t>129.4709144</t>
        </is>
      </c>
      <c r="F24" t="inlineStr">
        <is>
          <t>正保琉球国絵図写</t>
        </is>
      </c>
      <c r="G24" t="inlineStr">
        <is>
          <t>小敷村</t>
        </is>
      </c>
      <c r="H24" t="inlineStr"/>
      <c r="I24" t="inlineStr">
        <is>
          <t>〔18〕</t>
        </is>
      </c>
      <c r="J24" t="inlineStr"/>
      <c r="K24" t="inlineStr">
        <is>
          <t>鹿児島県奄美市名瀬大字小宿</t>
        </is>
      </c>
      <c r="L24" s="1">
        <f>HYPERLINK("https://www.hi.u-tokyo.ac.jp/collection/degitalgallary/ryukyu/item/10023", "https://www.hi.u-tokyo.ac.jp/collection/degitalgallary/ryukyu/item/10023")</f>
        <v/>
      </c>
    </row>
    <row r="25">
      <c r="A25" t="inlineStr">
        <is>
          <t>10024</t>
        </is>
      </c>
      <c r="B25" t="inlineStr">
        <is>
          <t>焼内間切之内ゆあんかま村</t>
        </is>
      </c>
      <c r="C25" t="inlineStr">
        <is>
          <t>村</t>
        </is>
      </c>
      <c r="D25" t="inlineStr">
        <is>
          <t>28.3480798</t>
        </is>
      </c>
      <c r="E25" t="inlineStr">
        <is>
          <t>129.4217212</t>
        </is>
      </c>
      <c r="F25" t="inlineStr">
        <is>
          <t>正保琉球国絵図写</t>
        </is>
      </c>
      <c r="G25" t="inlineStr">
        <is>
          <t>ゆあんかま村</t>
        </is>
      </c>
      <c r="H25" t="inlineStr"/>
      <c r="I25" t="inlineStr">
        <is>
          <t>〔19〕</t>
        </is>
      </c>
      <c r="J25" t="inlineStr"/>
      <c r="K25" t="inlineStr">
        <is>
          <t>鹿児島県大島郡大和村湯湾釜</t>
        </is>
      </c>
      <c r="L25" s="1">
        <f>HYPERLINK("https://www.hi.u-tokyo.ac.jp/collection/degitalgallary/ryukyu/item/10024", "https://www.hi.u-tokyo.ac.jp/collection/degitalgallary/ryukyu/item/10024")</f>
        <v/>
      </c>
    </row>
    <row r="26">
      <c r="A26" t="inlineStr">
        <is>
          <t>10025</t>
        </is>
      </c>
      <c r="B26" t="inlineStr">
        <is>
          <t>焼内間切之内けせん村</t>
        </is>
      </c>
      <c r="C26" t="inlineStr">
        <is>
          <t>村</t>
        </is>
      </c>
      <c r="D26" t="inlineStr">
        <is>
          <t>28.3590278</t>
        </is>
      </c>
      <c r="E26" t="inlineStr">
        <is>
          <t>129.3541389</t>
        </is>
      </c>
      <c r="F26" t="inlineStr">
        <is>
          <t>正保琉球国絵図写</t>
        </is>
      </c>
      <c r="G26" t="inlineStr">
        <is>
          <t>けせん村</t>
        </is>
      </c>
      <c r="H26" t="inlineStr"/>
      <c r="I26" t="inlineStr">
        <is>
          <t>〔20〕</t>
        </is>
      </c>
      <c r="J26" t="inlineStr"/>
      <c r="K26" t="inlineStr">
        <is>
          <t>鹿児島県大島郡大和村大金久</t>
        </is>
      </c>
      <c r="L26" s="1">
        <f>HYPERLINK("https://www.hi.u-tokyo.ac.jp/collection/degitalgallary/ryukyu/item/10025", "https://www.hi.u-tokyo.ac.jp/collection/degitalgallary/ryukyu/item/10025")</f>
        <v/>
      </c>
    </row>
    <row r="27">
      <c r="A27" t="inlineStr">
        <is>
          <t>10026</t>
        </is>
      </c>
      <c r="B27" t="inlineStr">
        <is>
          <t>焼内間切之内なをん村</t>
        </is>
      </c>
      <c r="C27" t="inlineStr">
        <is>
          <t>村</t>
        </is>
      </c>
      <c r="D27" t="inlineStr">
        <is>
          <t>28.3111107</t>
        </is>
      </c>
      <c r="E27" t="inlineStr">
        <is>
          <t>129.3361881</t>
        </is>
      </c>
      <c r="F27" t="inlineStr">
        <is>
          <t>正保琉球国絵図写</t>
        </is>
      </c>
      <c r="G27" t="inlineStr">
        <is>
          <t>なをん村</t>
        </is>
      </c>
      <c r="H27" t="inlineStr"/>
      <c r="I27" t="inlineStr">
        <is>
          <t>〔21〕</t>
        </is>
      </c>
      <c r="J27" t="inlineStr"/>
      <c r="K27" t="inlineStr">
        <is>
          <t>鹿児島県大島郡大和村名音</t>
        </is>
      </c>
      <c r="L27" s="1">
        <f>HYPERLINK("https://www.hi.u-tokyo.ac.jp/collection/degitalgallary/ryukyu/item/10026", "https://www.hi.u-tokyo.ac.jp/collection/degitalgallary/ryukyu/item/10026")</f>
        <v/>
      </c>
    </row>
    <row r="28">
      <c r="A28" t="inlineStr">
        <is>
          <t>10027</t>
        </is>
      </c>
      <c r="B28" t="inlineStr">
        <is>
          <t>焼内間切之内うけん村</t>
        </is>
      </c>
      <c r="C28" t="inlineStr">
        <is>
          <t>村</t>
        </is>
      </c>
      <c r="D28" t="inlineStr">
        <is>
          <t>28.3039046</t>
        </is>
      </c>
      <c r="E28" t="inlineStr">
        <is>
          <t>129.2349529</t>
        </is>
      </c>
      <c r="F28" t="inlineStr">
        <is>
          <t>正保琉球国絵図写</t>
        </is>
      </c>
      <c r="G28" t="inlineStr">
        <is>
          <t>うけん村</t>
        </is>
      </c>
      <c r="H28" t="inlineStr"/>
      <c r="I28" t="inlineStr">
        <is>
          <t>〔22〕</t>
        </is>
      </c>
      <c r="J28" t="inlineStr"/>
      <c r="K28" t="inlineStr">
        <is>
          <t>鹿児島県大島郡宇検村宇検</t>
        </is>
      </c>
      <c r="L28" s="1">
        <f>HYPERLINK("https://www.hi.u-tokyo.ac.jp/collection/degitalgallary/ryukyu/item/10027", "https://www.hi.u-tokyo.ac.jp/collection/degitalgallary/ryukyu/item/10027")</f>
        <v/>
      </c>
    </row>
    <row r="29">
      <c r="A29" t="inlineStr">
        <is>
          <t>10028</t>
        </is>
      </c>
      <c r="B29" t="inlineStr">
        <is>
          <t>焼内間切</t>
        </is>
      </c>
      <c r="C29" t="inlineStr">
        <is>
          <t>間切</t>
        </is>
      </c>
      <c r="D29" t="inlineStr">
        <is>
          <t>28.2807399</t>
        </is>
      </c>
      <c r="E29" t="inlineStr">
        <is>
          <t>129.2973412</t>
        </is>
      </c>
      <c r="F29" t="inlineStr">
        <is>
          <t>正保琉球国絵図写</t>
        </is>
      </c>
      <c r="G29" t="inlineStr">
        <is>
          <t>千五百一石余</t>
        </is>
      </c>
      <c r="H29" t="inlineStr"/>
      <c r="I29" t="inlineStr">
        <is>
          <t>〔23〕</t>
        </is>
      </c>
      <c r="J29" t="inlineStr"/>
      <c r="K29" t="inlineStr">
        <is>
          <t>鹿児島県大島郡宇検村湯湾</t>
        </is>
      </c>
      <c r="L29" s="1">
        <f>HYPERLINK("https://www.hi.u-tokyo.ac.jp/collection/degitalgallary/ryukyu/item/10028", "https://www.hi.u-tokyo.ac.jp/collection/degitalgallary/ryukyu/item/10028")</f>
        <v/>
      </c>
    </row>
    <row r="30">
      <c r="A30" t="inlineStr">
        <is>
          <t>10029</t>
        </is>
      </c>
      <c r="B30" t="inlineStr">
        <is>
          <t>焼内間切之内すこ村</t>
        </is>
      </c>
      <c r="C30" t="inlineStr">
        <is>
          <t>村</t>
        </is>
      </c>
      <c r="D30" t="inlineStr">
        <is>
          <t>28.2663229</t>
        </is>
      </c>
      <c r="E30" t="inlineStr">
        <is>
          <t>129.2946754</t>
        </is>
      </c>
      <c r="F30" t="inlineStr">
        <is>
          <t>正保琉球国絵図写</t>
        </is>
      </c>
      <c r="G30" t="inlineStr">
        <is>
          <t>すこ村</t>
        </is>
      </c>
      <c r="H30" t="inlineStr"/>
      <c r="I30" t="inlineStr">
        <is>
          <t>〔24〕</t>
        </is>
      </c>
      <c r="J30" t="inlineStr"/>
      <c r="K30" t="inlineStr">
        <is>
          <t>鹿児島県大島郡宇検村須古</t>
        </is>
      </c>
      <c r="L30" s="1">
        <f>HYPERLINK("https://www.hi.u-tokyo.ac.jp/collection/degitalgallary/ryukyu/item/10029", "https://www.hi.u-tokyo.ac.jp/collection/degitalgallary/ryukyu/item/10029")</f>
        <v/>
      </c>
    </row>
    <row r="31">
      <c r="A31" t="inlineStr">
        <is>
          <t>10030</t>
        </is>
      </c>
      <c r="B31" t="inlineStr">
        <is>
          <t>西間切之内小名瀬村</t>
        </is>
      </c>
      <c r="C31" t="inlineStr">
        <is>
          <t>村</t>
        </is>
      </c>
      <c r="D31" t="inlineStr">
        <is>
          <t>28.2025994</t>
        </is>
      </c>
      <c r="E31" t="inlineStr">
        <is>
          <t>129.2868887</t>
        </is>
      </c>
      <c r="F31" t="inlineStr">
        <is>
          <t>正保琉球国絵図写</t>
        </is>
      </c>
      <c r="G31" t="inlineStr">
        <is>
          <t>小名瀬村</t>
        </is>
      </c>
      <c r="H31" t="inlineStr"/>
      <c r="I31" t="inlineStr">
        <is>
          <t>〔25〕</t>
        </is>
      </c>
      <c r="J31" t="inlineStr"/>
      <c r="K31" t="inlineStr">
        <is>
          <t>鹿児島県大島郡瀬戸内町小名瀬</t>
        </is>
      </c>
      <c r="L31" s="1">
        <f>HYPERLINK("https://www.hi.u-tokyo.ac.jp/collection/degitalgallary/ryukyu/item/10030", "https://www.hi.u-tokyo.ac.jp/collection/degitalgallary/ryukyu/item/10030")</f>
        <v/>
      </c>
    </row>
    <row r="32">
      <c r="A32" t="inlineStr">
        <is>
          <t>10031</t>
        </is>
      </c>
      <c r="B32" t="inlineStr">
        <is>
          <t>西間切之内こし村</t>
        </is>
      </c>
      <c r="C32" t="inlineStr">
        <is>
          <t>村</t>
        </is>
      </c>
      <c r="D32" t="inlineStr">
        <is>
          <t>28.2403655</t>
        </is>
      </c>
      <c r="E32" t="inlineStr">
        <is>
          <t>129.284293</t>
        </is>
      </c>
      <c r="F32" t="inlineStr">
        <is>
          <t>正保琉球国絵図写</t>
        </is>
      </c>
      <c r="G32" t="inlineStr">
        <is>
          <t>こし村</t>
        </is>
      </c>
      <c r="H32" t="inlineStr"/>
      <c r="I32" t="inlineStr">
        <is>
          <t>〔26〕</t>
        </is>
      </c>
      <c r="J32" t="inlineStr"/>
      <c r="K32" t="inlineStr">
        <is>
          <t>鹿児島県大島郡瀬戸内町古志</t>
        </is>
      </c>
      <c r="L32" s="1">
        <f>HYPERLINK("https://www.hi.u-tokyo.ac.jp/collection/degitalgallary/ryukyu/item/10031", "https://www.hi.u-tokyo.ac.jp/collection/degitalgallary/ryukyu/item/10031")</f>
        <v/>
      </c>
    </row>
    <row r="33">
      <c r="A33" t="inlineStr">
        <is>
          <t>10032</t>
        </is>
      </c>
      <c r="B33" t="inlineStr">
        <is>
          <t>西間切之内へた村</t>
        </is>
      </c>
      <c r="C33" t="inlineStr">
        <is>
          <t>村</t>
        </is>
      </c>
      <c r="D33" t="inlineStr">
        <is>
          <t>28.2517624</t>
        </is>
      </c>
      <c r="E33" t="inlineStr">
        <is>
          <t>129.2219622</t>
        </is>
      </c>
      <c r="F33" t="inlineStr">
        <is>
          <t>正保琉球国絵図写</t>
        </is>
      </c>
      <c r="G33" t="inlineStr">
        <is>
          <t>へた村</t>
        </is>
      </c>
      <c r="H33" t="inlineStr"/>
      <c r="I33" t="inlineStr">
        <is>
          <t>〔27〕</t>
        </is>
      </c>
      <c r="J33" t="inlineStr"/>
      <c r="K33" t="inlineStr">
        <is>
          <t>鹿児島県大島郡宇検村平田</t>
        </is>
      </c>
      <c r="L33" s="1">
        <f>HYPERLINK("https://www.hi.u-tokyo.ac.jp/collection/degitalgallary/ryukyu/item/10032", "https://www.hi.u-tokyo.ac.jp/collection/degitalgallary/ryukyu/item/10032")</f>
        <v/>
      </c>
    </row>
    <row r="34">
      <c r="A34" t="inlineStr">
        <is>
          <t>10033</t>
        </is>
      </c>
      <c r="B34" t="inlineStr">
        <is>
          <t>西間切之内西ノ古見村</t>
        </is>
      </c>
      <c r="C34" t="inlineStr">
        <is>
          <t>村</t>
        </is>
      </c>
      <c r="D34" t="inlineStr">
        <is>
          <t>28.2418645</t>
        </is>
      </c>
      <c r="E34" t="inlineStr">
        <is>
          <t>129.1569688</t>
        </is>
      </c>
      <c r="F34" t="inlineStr">
        <is>
          <t>正保琉球国絵図写</t>
        </is>
      </c>
      <c r="G34" t="inlineStr">
        <is>
          <t>西ノ古見村</t>
        </is>
      </c>
      <c r="H34" t="inlineStr"/>
      <c r="I34" t="inlineStr">
        <is>
          <t>〔28〕</t>
        </is>
      </c>
      <c r="J34" t="inlineStr"/>
      <c r="K34" t="inlineStr">
        <is>
          <t>鹿児島県大島郡瀬戸内町西古見</t>
        </is>
      </c>
      <c r="L34" s="1">
        <f>HYPERLINK("https://www.hi.u-tokyo.ac.jp/collection/degitalgallary/ryukyu/item/10033", "https://www.hi.u-tokyo.ac.jp/collection/degitalgallary/ryukyu/item/10033")</f>
        <v/>
      </c>
    </row>
    <row r="35">
      <c r="A35" t="inlineStr">
        <is>
          <t>10034</t>
        </is>
      </c>
      <c r="B35" t="inlineStr">
        <is>
          <t>西間切</t>
        </is>
      </c>
      <c r="C35" t="inlineStr">
        <is>
          <t>間切</t>
        </is>
      </c>
      <c r="D35" t="inlineStr"/>
      <c r="E35" t="inlineStr"/>
      <c r="F35" t="inlineStr">
        <is>
          <t>正保琉球国絵図写</t>
        </is>
      </c>
      <c r="G35" t="inlineStr">
        <is>
          <t>弐千百九十石余</t>
        </is>
      </c>
      <c r="H35" t="inlineStr"/>
      <c r="I35" t="inlineStr">
        <is>
          <t>〔29〕</t>
        </is>
      </c>
      <c r="J35" t="inlineStr">
        <is>
          <t>30020470000253100</t>
        </is>
      </c>
      <c r="K35" t="inlineStr"/>
      <c r="L35" s="1">
        <f>HYPERLINK("https://www.hi.u-tokyo.ac.jp/collection/degitalgallary/ryukyu/item/10034", "https://www.hi.u-tokyo.ac.jp/collection/degitalgallary/ryukyu/item/10034")</f>
        <v/>
      </c>
    </row>
    <row r="36">
      <c r="A36" t="inlineStr">
        <is>
          <t>10035</t>
        </is>
      </c>
      <c r="B36" t="inlineStr">
        <is>
          <t>西間切之内芝村</t>
        </is>
      </c>
      <c r="C36" t="inlineStr">
        <is>
          <t>村</t>
        </is>
      </c>
      <c r="D36" t="inlineStr">
        <is>
          <t>28.1915154</t>
        </is>
      </c>
      <c r="E36" t="inlineStr">
        <is>
          <t>129.2037708</t>
        </is>
      </c>
      <c r="F36" t="inlineStr">
        <is>
          <t>正保琉球国絵図写</t>
        </is>
      </c>
      <c r="G36" t="inlineStr">
        <is>
          <t>芝村</t>
        </is>
      </c>
      <c r="H36" t="inlineStr"/>
      <c r="I36" t="inlineStr">
        <is>
          <t>〔30〕</t>
        </is>
      </c>
      <c r="J36" t="inlineStr"/>
      <c r="K36" t="inlineStr">
        <is>
          <t>鹿児島県大島郡瀬戸内町芝</t>
        </is>
      </c>
      <c r="L36" s="1">
        <f>HYPERLINK("https://www.hi.u-tokyo.ac.jp/collection/degitalgallary/ryukyu/item/10035", "https://www.hi.u-tokyo.ac.jp/collection/degitalgallary/ryukyu/item/10035")</f>
        <v/>
      </c>
    </row>
    <row r="37">
      <c r="A37" t="inlineStr">
        <is>
          <t>10036</t>
        </is>
      </c>
      <c r="B37" t="inlineStr">
        <is>
          <t>西間切之内すこも村</t>
        </is>
      </c>
      <c r="C37" t="inlineStr">
        <is>
          <t>村</t>
        </is>
      </c>
      <c r="D37" t="inlineStr">
        <is>
          <t>28.1535869</t>
        </is>
      </c>
      <c r="E37" t="inlineStr">
        <is>
          <t>129.2115805</t>
        </is>
      </c>
      <c r="F37" t="inlineStr">
        <is>
          <t>正保琉球国絵図写</t>
        </is>
      </c>
      <c r="G37" t="inlineStr">
        <is>
          <t>すこも村</t>
        </is>
      </c>
      <c r="H37" t="inlineStr"/>
      <c r="I37" t="inlineStr">
        <is>
          <t>〔31〕</t>
        </is>
      </c>
      <c r="J37" t="inlineStr"/>
      <c r="K37" t="inlineStr">
        <is>
          <t>鹿児島県大島郡瀬戸内町須子茂</t>
        </is>
      </c>
      <c r="L37" s="1">
        <f>HYPERLINK("https://www.hi.u-tokyo.ac.jp/collection/degitalgallary/ryukyu/item/10036", "https://www.hi.u-tokyo.ac.jp/collection/degitalgallary/ryukyu/item/10036")</f>
        <v/>
      </c>
    </row>
    <row r="38">
      <c r="A38" t="inlineStr">
        <is>
          <t>10037</t>
        </is>
      </c>
      <c r="B38" t="inlineStr">
        <is>
          <t>西間切之内たけな村</t>
        </is>
      </c>
      <c r="C38" t="inlineStr">
        <is>
          <t>村</t>
        </is>
      </c>
      <c r="D38" t="inlineStr">
        <is>
          <t>28.1535306</t>
        </is>
      </c>
      <c r="E38" t="inlineStr">
        <is>
          <t>129.2276186</t>
        </is>
      </c>
      <c r="F38" t="inlineStr">
        <is>
          <t>正保琉球国絵図写</t>
        </is>
      </c>
      <c r="G38" t="inlineStr">
        <is>
          <t>たけな村</t>
        </is>
      </c>
      <c r="H38" t="inlineStr"/>
      <c r="I38" t="inlineStr">
        <is>
          <t>〔32〕</t>
        </is>
      </c>
      <c r="J38" t="inlineStr"/>
      <c r="K38" t="inlineStr">
        <is>
          <t>鹿児島県大島郡瀬戸内町武名</t>
        </is>
      </c>
      <c r="L38" s="1">
        <f>HYPERLINK("https://www.hi.u-tokyo.ac.jp/collection/degitalgallary/ryukyu/item/10037", "https://www.hi.u-tokyo.ac.jp/collection/degitalgallary/ryukyu/item/10037")</f>
        <v/>
      </c>
    </row>
    <row r="39">
      <c r="A39" t="inlineStr">
        <is>
          <t>10038</t>
        </is>
      </c>
      <c r="B39" t="inlineStr">
        <is>
          <t>西間切之内おさい村</t>
        </is>
      </c>
      <c r="C39" t="inlineStr">
        <is>
          <t>村</t>
        </is>
      </c>
      <c r="D39" t="inlineStr">
        <is>
          <t>28.0963302</t>
        </is>
      </c>
      <c r="E39" t="inlineStr">
        <is>
          <t>129.2739088</t>
        </is>
      </c>
      <c r="F39" t="inlineStr">
        <is>
          <t>正保琉球国絵図写</t>
        </is>
      </c>
      <c r="G39" t="inlineStr">
        <is>
          <t>おさい村</t>
        </is>
      </c>
      <c r="H39" t="inlineStr"/>
      <c r="I39" t="inlineStr">
        <is>
          <t>〔33〕</t>
        </is>
      </c>
      <c r="J39" t="inlineStr"/>
      <c r="K39" t="inlineStr">
        <is>
          <t>鹿児島県大島郡瀬戸内町於斉</t>
        </is>
      </c>
      <c r="L39" s="1">
        <f>HYPERLINK("https://www.hi.u-tokyo.ac.jp/collection/degitalgallary/ryukyu/item/10038", "https://www.hi.u-tokyo.ac.jp/collection/degitalgallary/ryukyu/item/10038")</f>
        <v/>
      </c>
    </row>
    <row r="40">
      <c r="A40" t="inlineStr">
        <is>
          <t>10039</t>
        </is>
      </c>
      <c r="B40" t="inlineStr">
        <is>
          <t>西間切之内おしかく村</t>
        </is>
      </c>
      <c r="C40" t="inlineStr">
        <is>
          <t>村</t>
        </is>
      </c>
      <c r="D40" t="inlineStr">
        <is>
          <t>28.1091402</t>
        </is>
      </c>
      <c r="E40" t="inlineStr">
        <is>
          <t>129.2868887</t>
        </is>
      </c>
      <c r="F40" t="inlineStr">
        <is>
          <t>正保琉球国絵図写</t>
        </is>
      </c>
      <c r="G40" t="inlineStr">
        <is>
          <t>おしかく村</t>
        </is>
      </c>
      <c r="H40" t="inlineStr"/>
      <c r="I40" t="inlineStr">
        <is>
          <t>〔34〕</t>
        </is>
      </c>
      <c r="J40" t="inlineStr"/>
      <c r="K40" t="inlineStr">
        <is>
          <t>鹿児島県大島郡瀬戸内町勝能</t>
        </is>
      </c>
      <c r="L40" s="1">
        <f>HYPERLINK("https://www.hi.u-tokyo.ac.jp/collection/degitalgallary/ryukyu/item/10039", "https://www.hi.u-tokyo.ac.jp/collection/degitalgallary/ryukyu/item/10039")</f>
        <v/>
      </c>
    </row>
    <row r="41">
      <c r="A41" t="inlineStr">
        <is>
          <t>10040</t>
        </is>
      </c>
      <c r="B41" t="inlineStr">
        <is>
          <t>西間切之内うけ村</t>
        </is>
      </c>
      <c r="C41" t="inlineStr">
        <is>
          <t>村</t>
        </is>
      </c>
      <c r="D41" t="inlineStr">
        <is>
          <t>28.0280357</t>
        </is>
      </c>
      <c r="E41" t="inlineStr">
        <is>
          <t>129.2308399</t>
        </is>
      </c>
      <c r="F41" t="inlineStr">
        <is>
          <t>正保琉球国絵図写</t>
        </is>
      </c>
      <c r="G41" t="inlineStr">
        <is>
          <t>うけ村</t>
        </is>
      </c>
      <c r="H41" t="inlineStr"/>
      <c r="I41" t="inlineStr">
        <is>
          <t>〔35〕</t>
        </is>
      </c>
      <c r="J41" t="inlineStr"/>
      <c r="K41" t="inlineStr">
        <is>
          <t>鹿児島県大島郡瀬戸内町池地</t>
        </is>
      </c>
      <c r="L41" s="1">
        <f>HYPERLINK("https://www.hi.u-tokyo.ac.jp/collection/degitalgallary/ryukyu/item/10040", "https://www.hi.u-tokyo.ac.jp/collection/degitalgallary/ryukyu/item/10040")</f>
        <v/>
      </c>
    </row>
    <row r="42">
      <c r="A42" t="inlineStr">
        <is>
          <t>10041</t>
        </is>
      </c>
      <c r="B42" t="inlineStr">
        <is>
          <t>西間切之内よろ村</t>
        </is>
      </c>
      <c r="C42" t="inlineStr">
        <is>
          <t>村</t>
        </is>
      </c>
      <c r="D42" t="inlineStr">
        <is>
          <t>28.0365857</t>
        </is>
      </c>
      <c r="E42" t="inlineStr">
        <is>
          <t>129.1595698</t>
        </is>
      </c>
      <c r="F42" t="inlineStr">
        <is>
          <t>正保琉球国絵図写</t>
        </is>
      </c>
      <c r="G42" t="inlineStr">
        <is>
          <t>よろ村</t>
        </is>
      </c>
      <c r="H42" t="inlineStr"/>
      <c r="I42" t="inlineStr">
        <is>
          <t>〔36〕</t>
        </is>
      </c>
      <c r="J42" t="inlineStr"/>
      <c r="K42" t="inlineStr">
        <is>
          <t>鹿児島県大島郡瀬戸内町与路</t>
        </is>
      </c>
      <c r="L42" s="1">
        <f>HYPERLINK("https://www.hi.u-tokyo.ac.jp/collection/degitalgallary/ryukyu/item/10041", "https://www.hi.u-tokyo.ac.jp/collection/degitalgallary/ryukyu/item/10041")</f>
        <v/>
      </c>
    </row>
    <row r="43">
      <c r="A43" t="inlineStr">
        <is>
          <t>10042</t>
        </is>
      </c>
      <c r="B43" t="inlineStr">
        <is>
          <t>東間切之内かめの川村</t>
        </is>
      </c>
      <c r="C43" t="inlineStr">
        <is>
          <t>村</t>
        </is>
      </c>
      <c r="D43" t="inlineStr">
        <is>
          <t>28.0683673</t>
        </is>
      </c>
      <c r="E43" t="inlineStr">
        <is>
          <t>129.2763698</t>
        </is>
      </c>
      <c r="F43" t="inlineStr">
        <is>
          <t>正保琉球国絵図写</t>
        </is>
      </c>
      <c r="G43" t="inlineStr">
        <is>
          <t>かめの川村</t>
        </is>
      </c>
      <c r="H43" t="inlineStr"/>
      <c r="I43" t="inlineStr">
        <is>
          <t>〔37〕</t>
        </is>
      </c>
      <c r="J43" t="inlineStr"/>
      <c r="K43" t="inlineStr">
        <is>
          <t>鹿児島県大島郡瀬戸内町秋徳</t>
        </is>
      </c>
      <c r="L43" s="1">
        <f>HYPERLINK("https://www.hi.u-tokyo.ac.jp/collection/degitalgallary/ryukyu/item/10042", "https://www.hi.u-tokyo.ac.jp/collection/degitalgallary/ryukyu/item/10042")</f>
        <v/>
      </c>
    </row>
    <row r="44">
      <c r="A44" t="inlineStr">
        <is>
          <t>10043</t>
        </is>
      </c>
      <c r="B44" t="inlineStr">
        <is>
          <t>東間切之内しよとん村</t>
        </is>
      </c>
      <c r="C44" t="inlineStr">
        <is>
          <t>村</t>
        </is>
      </c>
      <c r="D44" t="inlineStr">
        <is>
          <t>28.0851795</t>
        </is>
      </c>
      <c r="E44" t="inlineStr">
        <is>
          <t>129.3284066</t>
        </is>
      </c>
      <c r="F44" t="inlineStr">
        <is>
          <t>正保琉球国絵図写</t>
        </is>
      </c>
      <c r="G44" t="inlineStr">
        <is>
          <t>しよとん村</t>
        </is>
      </c>
      <c r="H44" t="inlineStr"/>
      <c r="I44" t="inlineStr">
        <is>
          <t>〔38〕</t>
        </is>
      </c>
      <c r="J44" t="inlineStr"/>
      <c r="K44" t="inlineStr">
        <is>
          <t>鹿児島県大島郡瀬戸内町諸鈍</t>
        </is>
      </c>
      <c r="L44" s="1">
        <f>HYPERLINK("https://www.hi.u-tokyo.ac.jp/collection/degitalgallary/ryukyu/item/10043", "https://www.hi.u-tokyo.ac.jp/collection/degitalgallary/ryukyu/item/10043")</f>
        <v/>
      </c>
    </row>
    <row r="45">
      <c r="A45" t="inlineStr">
        <is>
          <t>10044</t>
        </is>
      </c>
      <c r="B45" t="inlineStr">
        <is>
          <t>東間切之内かちよく村</t>
        </is>
      </c>
      <c r="C45" t="inlineStr">
        <is>
          <t>村</t>
        </is>
      </c>
      <c r="D45" t="inlineStr">
        <is>
          <t>28.1091402</t>
        </is>
      </c>
      <c r="E45" t="inlineStr">
        <is>
          <t>129.2868887</t>
        </is>
      </c>
      <c r="F45" t="inlineStr">
        <is>
          <t>正保琉球国絵図写</t>
        </is>
      </c>
      <c r="G45" t="inlineStr">
        <is>
          <t>かちよく村</t>
        </is>
      </c>
      <c r="H45" t="inlineStr"/>
      <c r="I45" t="inlineStr">
        <is>
          <t>〔39〕</t>
        </is>
      </c>
      <c r="J45" t="inlineStr"/>
      <c r="K45" t="inlineStr">
        <is>
          <t>鹿児島県大島郡瀬戸内町勝能</t>
        </is>
      </c>
      <c r="L45" s="1">
        <f>HYPERLINK("https://www.hi.u-tokyo.ac.jp/collection/degitalgallary/ryukyu/item/10044", "https://www.hi.u-tokyo.ac.jp/collection/degitalgallary/ryukyu/item/10044")</f>
        <v/>
      </c>
    </row>
    <row r="46">
      <c r="A46" t="inlineStr">
        <is>
          <t>10045</t>
        </is>
      </c>
      <c r="B46" t="inlineStr">
        <is>
          <t>東間切</t>
        </is>
      </c>
      <c r="C46" t="inlineStr">
        <is>
          <t>間切</t>
        </is>
      </c>
      <c r="D46" t="inlineStr"/>
      <c r="E46" t="inlineStr"/>
      <c r="F46" t="inlineStr">
        <is>
          <t>正保琉球国絵図写</t>
        </is>
      </c>
      <c r="G46" t="inlineStr">
        <is>
          <t>千七百卅一石余</t>
        </is>
      </c>
      <c r="H46" t="inlineStr"/>
      <c r="I46" t="inlineStr">
        <is>
          <t>〔40〕</t>
        </is>
      </c>
      <c r="J46" t="inlineStr">
        <is>
          <t>30020470000237000</t>
        </is>
      </c>
      <c r="K46" t="inlineStr"/>
      <c r="L46" s="1">
        <f>HYPERLINK("https://www.hi.u-tokyo.ac.jp/collection/degitalgallary/ryukyu/item/10045", "https://www.hi.u-tokyo.ac.jp/collection/degitalgallary/ryukyu/item/10045")</f>
        <v/>
      </c>
    </row>
    <row r="47">
      <c r="A47" t="inlineStr">
        <is>
          <t>10046</t>
        </is>
      </c>
      <c r="B47" t="inlineStr">
        <is>
          <t>東間切之内くねつ村</t>
        </is>
      </c>
      <c r="C47" t="inlineStr">
        <is>
          <t>村</t>
        </is>
      </c>
      <c r="D47" t="inlineStr">
        <is>
          <t>28.1677867</t>
        </is>
      </c>
      <c r="E47" t="inlineStr">
        <is>
          <t>129.3024611</t>
        </is>
      </c>
      <c r="F47" t="inlineStr">
        <is>
          <t>正保琉球国絵図写</t>
        </is>
      </c>
      <c r="G47" t="inlineStr">
        <is>
          <t>くねつ村</t>
        </is>
      </c>
      <c r="H47" t="inlineStr"/>
      <c r="I47" t="inlineStr">
        <is>
          <t>〔41〕</t>
        </is>
      </c>
      <c r="J47" t="inlineStr"/>
      <c r="K47" t="inlineStr">
        <is>
          <t>鹿児島県大島郡瀬戸内町久根津</t>
        </is>
      </c>
      <c r="L47" s="1">
        <f>HYPERLINK("https://www.hi.u-tokyo.ac.jp/collection/degitalgallary/ryukyu/item/10046", "https://www.hi.u-tokyo.ac.jp/collection/degitalgallary/ryukyu/item/10046")</f>
        <v/>
      </c>
    </row>
    <row r="48">
      <c r="A48" t="inlineStr">
        <is>
          <t>10047</t>
        </is>
      </c>
      <c r="B48" t="inlineStr">
        <is>
          <t>東間切之内あきな村</t>
        </is>
      </c>
      <c r="C48" t="inlineStr">
        <is>
          <t>村</t>
        </is>
      </c>
      <c r="D48" t="inlineStr">
        <is>
          <t>28.1868716</t>
        </is>
      </c>
      <c r="E48" t="inlineStr">
        <is>
          <t>129.3258125</t>
        </is>
      </c>
      <c r="F48" t="inlineStr">
        <is>
          <t>正保琉球国絵図写</t>
        </is>
      </c>
      <c r="G48" t="inlineStr">
        <is>
          <t>あきな村</t>
        </is>
      </c>
      <c r="H48" t="inlineStr"/>
      <c r="I48" t="inlineStr">
        <is>
          <t>〔42〕</t>
        </is>
      </c>
      <c r="J48" t="inlineStr"/>
      <c r="K48" t="inlineStr">
        <is>
          <t>鹿児島県大島郡瀬戸内町阿木名</t>
        </is>
      </c>
      <c r="L48" s="1">
        <f>HYPERLINK("https://www.hi.u-tokyo.ac.jp/collection/degitalgallary/ryukyu/item/10047", "https://www.hi.u-tokyo.ac.jp/collection/degitalgallary/ryukyu/item/10047")</f>
        <v/>
      </c>
    </row>
    <row r="49">
      <c r="A49" t="inlineStr">
        <is>
          <t>10048</t>
        </is>
      </c>
      <c r="B49" t="inlineStr">
        <is>
          <t>東間切之内かとく村</t>
        </is>
      </c>
      <c r="C49" t="inlineStr">
        <is>
          <t>村</t>
        </is>
      </c>
      <c r="D49" t="inlineStr">
        <is>
          <t>28.2013918</t>
        </is>
      </c>
      <c r="E49" t="inlineStr">
        <is>
          <t>129.3984056</t>
        </is>
      </c>
      <c r="F49" t="inlineStr">
        <is>
          <t>正保琉球国絵図写</t>
        </is>
      </c>
      <c r="G49" t="inlineStr">
        <is>
          <t>かとく村</t>
        </is>
      </c>
      <c r="H49" t="inlineStr"/>
      <c r="I49" t="inlineStr">
        <is>
          <t>〔43〕</t>
        </is>
      </c>
      <c r="J49" t="inlineStr"/>
      <c r="K49" t="inlineStr">
        <is>
          <t>鹿児島県大島郡瀬戸内町嘉徳</t>
        </is>
      </c>
      <c r="L49" s="1">
        <f>HYPERLINK("https://www.hi.u-tokyo.ac.jp/collection/degitalgallary/ryukyu/item/10048", "https://www.hi.u-tokyo.ac.jp/collection/degitalgallary/ryukyu/item/10048")</f>
        <v/>
      </c>
    </row>
    <row r="50">
      <c r="A50" t="inlineStr">
        <is>
          <t>10049</t>
        </is>
      </c>
      <c r="B50" t="inlineStr">
        <is>
          <t>住用間切</t>
        </is>
      </c>
      <c r="C50" t="inlineStr">
        <is>
          <t>間切</t>
        </is>
      </c>
      <c r="D50" t="inlineStr"/>
      <c r="E50" t="inlineStr"/>
      <c r="F50" t="inlineStr">
        <is>
          <t>正保琉球国絵図写</t>
        </is>
      </c>
      <c r="G50" t="inlineStr">
        <is>
          <t>九百四拾七石余</t>
        </is>
      </c>
      <c r="H50" t="inlineStr"/>
      <c r="I50" t="inlineStr">
        <is>
          <t>〔44〕</t>
        </is>
      </c>
      <c r="J50" t="inlineStr"/>
      <c r="K50" t="inlineStr"/>
      <c r="L50" s="1">
        <f>HYPERLINK("https://www.hi.u-tokyo.ac.jp/collection/degitalgallary/ryukyu/item/10049", "https://www.hi.u-tokyo.ac.jp/collection/degitalgallary/ryukyu/item/10049")</f>
        <v/>
      </c>
    </row>
    <row r="51">
      <c r="A51" t="inlineStr">
        <is>
          <t>10050</t>
        </is>
      </c>
      <c r="B51" t="inlineStr">
        <is>
          <t>住用間切之内かねく村</t>
        </is>
      </c>
      <c r="C51" t="inlineStr">
        <is>
          <t>村</t>
        </is>
      </c>
      <c r="D51" t="inlineStr">
        <is>
          <t>28.3175572</t>
        </is>
      </c>
      <c r="E51" t="inlineStr">
        <is>
          <t>129.4605625</t>
        </is>
      </c>
      <c r="F51" t="inlineStr">
        <is>
          <t>正保琉球国絵図写</t>
        </is>
      </c>
      <c r="G51" t="inlineStr">
        <is>
          <t>かねく村</t>
        </is>
      </c>
      <c r="H51" t="inlineStr"/>
      <c r="I51" t="inlineStr">
        <is>
          <t>〔45〕</t>
        </is>
      </c>
      <c r="J51" t="inlineStr"/>
      <c r="K51" t="inlineStr">
        <is>
          <t>鹿児島県奄美市住用町大字城</t>
        </is>
      </c>
      <c r="L51" s="1">
        <f>HYPERLINK("https://www.hi.u-tokyo.ac.jp/collection/degitalgallary/ryukyu/item/10050", "https://www.hi.u-tokyo.ac.jp/collection/degitalgallary/ryukyu/item/10050")</f>
        <v/>
      </c>
    </row>
    <row r="52">
      <c r="A52" t="inlineStr">
        <is>
          <t>10051</t>
        </is>
      </c>
      <c r="B52" t="inlineStr">
        <is>
          <t>古見間切</t>
        </is>
      </c>
      <c r="C52" t="inlineStr">
        <is>
          <t>間切</t>
        </is>
      </c>
      <c r="D52" t="inlineStr"/>
      <c r="E52" t="inlineStr"/>
      <c r="F52" t="inlineStr">
        <is>
          <t>正保琉球国絵図写</t>
        </is>
      </c>
      <c r="G52" t="inlineStr">
        <is>
          <t>千六百六十五石余</t>
        </is>
      </c>
      <c r="H52" t="inlineStr"/>
      <c r="I52" t="inlineStr">
        <is>
          <t>〔46〕</t>
        </is>
      </c>
      <c r="J52" t="inlineStr">
        <is>
          <t>30020470000244500</t>
        </is>
      </c>
      <c r="K52" t="inlineStr"/>
      <c r="L52" s="1">
        <f>HYPERLINK("https://www.hi.u-tokyo.ac.jp/collection/degitalgallary/ryukyu/item/10051", "https://www.hi.u-tokyo.ac.jp/collection/degitalgallary/ryukyu/item/10051")</f>
        <v/>
      </c>
    </row>
    <row r="53">
      <c r="A53" t="inlineStr">
        <is>
          <t>10052</t>
        </is>
      </c>
      <c r="B53" t="inlineStr">
        <is>
          <t>古見間切之内とくち村</t>
        </is>
      </c>
      <c r="C53" t="inlineStr">
        <is>
          <t>村</t>
        </is>
      </c>
      <c r="D53" t="inlineStr">
        <is>
          <t>28.3619361</t>
        </is>
      </c>
      <c r="E53" t="inlineStr">
        <is>
          <t>129.5666001</t>
        </is>
      </c>
      <c r="F53" t="inlineStr">
        <is>
          <t>正保琉球国絵図写</t>
        </is>
      </c>
      <c r="G53" t="inlineStr">
        <is>
          <t>とくち村</t>
        </is>
      </c>
      <c r="H53" t="inlineStr"/>
      <c r="I53" t="inlineStr">
        <is>
          <t>〔47〕</t>
        </is>
      </c>
      <c r="J53" t="inlineStr"/>
      <c r="K53" t="inlineStr">
        <is>
          <t>鹿児島県大島郡龍郷町戸口</t>
        </is>
      </c>
      <c r="L53" s="1">
        <f>HYPERLINK("https://www.hi.u-tokyo.ac.jp/collection/degitalgallary/ryukyu/item/10052", "https://www.hi.u-tokyo.ac.jp/collection/degitalgallary/ryukyu/item/10052")</f>
        <v/>
      </c>
    </row>
    <row r="54">
      <c r="A54" t="inlineStr">
        <is>
          <t>10053</t>
        </is>
      </c>
      <c r="B54" t="inlineStr">
        <is>
          <t>東間切之内かめつ村</t>
        </is>
      </c>
      <c r="C54" t="inlineStr">
        <is>
          <t>村</t>
        </is>
      </c>
      <c r="D54" t="inlineStr">
        <is>
          <t>27.7281452</t>
        </is>
      </c>
      <c r="E54" t="inlineStr">
        <is>
          <t>129.0072741</t>
        </is>
      </c>
      <c r="F54" t="inlineStr">
        <is>
          <t>正保琉球国絵図写</t>
        </is>
      </c>
      <c r="G54" t="inlineStr">
        <is>
          <t>かめつ村</t>
        </is>
      </c>
      <c r="H54" t="inlineStr"/>
      <c r="I54" t="inlineStr">
        <is>
          <t>〔48〕</t>
        </is>
      </c>
      <c r="J54" t="inlineStr"/>
      <c r="K54" t="inlineStr">
        <is>
          <t>鹿児島県大島郡徳之島町亀津</t>
        </is>
      </c>
      <c r="L54" s="1">
        <f>HYPERLINK("https://www.hi.u-tokyo.ac.jp/collection/degitalgallary/ryukyu/item/10053", "https://www.hi.u-tokyo.ac.jp/collection/degitalgallary/ryukyu/item/10053")</f>
        <v/>
      </c>
    </row>
    <row r="55">
      <c r="A55" t="inlineStr">
        <is>
          <t>10054</t>
        </is>
      </c>
      <c r="B55" t="inlineStr">
        <is>
          <t>東間切</t>
        </is>
      </c>
      <c r="C55" t="inlineStr">
        <is>
          <t>間切</t>
        </is>
      </c>
      <c r="D55" t="inlineStr"/>
      <c r="E55" t="inlineStr"/>
      <c r="F55" t="inlineStr">
        <is>
          <t>正保琉球国絵図写</t>
        </is>
      </c>
      <c r="G55" t="inlineStr">
        <is>
          <t>弐千五十一石余</t>
        </is>
      </c>
      <c r="H55" t="inlineStr"/>
      <c r="I55" t="inlineStr">
        <is>
          <t>〔49〕</t>
        </is>
      </c>
      <c r="J55" t="inlineStr">
        <is>
          <t>30020470000237000</t>
        </is>
      </c>
      <c r="K55" t="inlineStr"/>
      <c r="L55" s="1">
        <f>HYPERLINK("https://www.hi.u-tokyo.ac.jp/collection/degitalgallary/ryukyu/item/10054", "https://www.hi.u-tokyo.ac.jp/collection/degitalgallary/ryukyu/item/10054")</f>
        <v/>
      </c>
    </row>
    <row r="56">
      <c r="A56" t="inlineStr">
        <is>
          <t>10055</t>
        </is>
      </c>
      <c r="B56" t="inlineStr">
        <is>
          <t>東間切之内花徳村</t>
        </is>
      </c>
      <c r="C56" t="inlineStr">
        <is>
          <t>村</t>
        </is>
      </c>
      <c r="D56" t="inlineStr">
        <is>
          <t>27.820358</t>
        </is>
      </c>
      <c r="E56" t="inlineStr">
        <is>
          <t>128.9511518</t>
        </is>
      </c>
      <c r="F56" t="inlineStr">
        <is>
          <t>正保琉球国絵図写</t>
        </is>
      </c>
      <c r="G56" t="inlineStr">
        <is>
          <t>花徳村</t>
        </is>
      </c>
      <c r="H56" t="inlineStr"/>
      <c r="I56" t="inlineStr">
        <is>
          <t>〔50〕</t>
        </is>
      </c>
      <c r="J56" t="inlineStr"/>
      <c r="K56" t="inlineStr">
        <is>
          <t>鹿児島県大島郡徳之島町花徳</t>
        </is>
      </c>
      <c r="L56" s="1">
        <f>HYPERLINK("https://www.hi.u-tokyo.ac.jp/collection/degitalgallary/ryukyu/item/10055", "https://www.hi.u-tokyo.ac.jp/collection/degitalgallary/ryukyu/item/10055")</f>
        <v/>
      </c>
    </row>
    <row r="57">
      <c r="A57" t="inlineStr">
        <is>
          <t>10056</t>
        </is>
      </c>
      <c r="B57" t="inlineStr">
        <is>
          <t>西目間切之内てゝ村</t>
        </is>
      </c>
      <c r="C57" t="inlineStr">
        <is>
          <t>村</t>
        </is>
      </c>
      <c r="D57" t="inlineStr">
        <is>
          <t>27.8802288</t>
        </is>
      </c>
      <c r="E57" t="inlineStr">
        <is>
          <t>128.9198304</t>
        </is>
      </c>
      <c r="F57" t="inlineStr">
        <is>
          <t>正保琉球国絵図写</t>
        </is>
      </c>
      <c r="G57" t="inlineStr">
        <is>
          <t>てゝ村</t>
        </is>
      </c>
      <c r="H57" t="inlineStr"/>
      <c r="I57" t="inlineStr">
        <is>
          <t>〔51〕</t>
        </is>
      </c>
      <c r="J57" t="inlineStr"/>
      <c r="K57" t="inlineStr">
        <is>
          <t>鹿児島県大島郡徳之島町手々</t>
        </is>
      </c>
      <c r="L57" s="1">
        <f>HYPERLINK("https://www.hi.u-tokyo.ac.jp/collection/degitalgallary/ryukyu/item/10056", "https://www.hi.u-tokyo.ac.jp/collection/degitalgallary/ryukyu/item/10056")</f>
        <v/>
      </c>
    </row>
    <row r="58">
      <c r="A58" t="inlineStr">
        <is>
          <t>10057</t>
        </is>
      </c>
      <c r="B58" t="inlineStr">
        <is>
          <t>西目間切之内よなま村</t>
        </is>
      </c>
      <c r="C58" t="inlineStr">
        <is>
          <t>村</t>
        </is>
      </c>
      <c r="D58" t="inlineStr">
        <is>
          <t>27.8604602</t>
        </is>
      </c>
      <c r="E58" t="inlineStr">
        <is>
          <t>128.9198304</t>
        </is>
      </c>
      <c r="F58" t="inlineStr">
        <is>
          <t>正保琉球国絵図写</t>
        </is>
      </c>
      <c r="G58" t="inlineStr">
        <is>
          <t>よなま村</t>
        </is>
      </c>
      <c r="H58" t="inlineStr"/>
      <c r="I58" t="inlineStr">
        <is>
          <t>〔52〕</t>
        </is>
      </c>
      <c r="J58" t="inlineStr"/>
      <c r="K58" t="inlineStr">
        <is>
          <t>鹿児島県大島郡天城町与名間</t>
        </is>
      </c>
      <c r="L58" s="1">
        <f>HYPERLINK("https://www.hi.u-tokyo.ac.jp/collection/degitalgallary/ryukyu/item/10057", "https://www.hi.u-tokyo.ac.jp/collection/degitalgallary/ryukyu/item/10057")</f>
        <v/>
      </c>
    </row>
    <row r="59">
      <c r="A59" t="inlineStr">
        <is>
          <t>10058</t>
        </is>
      </c>
      <c r="B59" t="inlineStr">
        <is>
          <t>西目間切</t>
        </is>
      </c>
      <c r="C59" t="inlineStr">
        <is>
          <t>間切</t>
        </is>
      </c>
      <c r="D59" t="inlineStr">
        <is>
          <t>27.8117941</t>
        </is>
      </c>
      <c r="E59" t="inlineStr">
        <is>
          <t>128.8979416</t>
        </is>
      </c>
      <c r="F59" t="inlineStr">
        <is>
          <t>正保琉球国絵図写</t>
        </is>
      </c>
      <c r="G59" t="inlineStr">
        <is>
          <t>三千九百七拾六石余</t>
        </is>
      </c>
      <c r="H59" t="inlineStr"/>
      <c r="I59" t="inlineStr">
        <is>
          <t>〔53〕</t>
        </is>
      </c>
      <c r="J59" t="inlineStr">
        <is>
          <t>30020470000236800</t>
        </is>
      </c>
      <c r="K59" t="inlineStr">
        <is>
          <t>鹿児島県大島郡天城町平土野</t>
        </is>
      </c>
      <c r="L59" s="1">
        <f>HYPERLINK("https://www.hi.u-tokyo.ac.jp/collection/degitalgallary/ryukyu/item/10058", "https://www.hi.u-tokyo.ac.jp/collection/degitalgallary/ryukyu/item/10058")</f>
        <v/>
      </c>
    </row>
    <row r="60">
      <c r="A60" t="inlineStr">
        <is>
          <t>10059</t>
        </is>
      </c>
      <c r="B60" t="inlineStr">
        <is>
          <t>西目間切之内せたき村</t>
        </is>
      </c>
      <c r="C60" t="inlineStr">
        <is>
          <t>村</t>
        </is>
      </c>
      <c r="D60" t="inlineStr">
        <is>
          <t>27.7782985</t>
        </is>
      </c>
      <c r="E60" t="inlineStr">
        <is>
          <t>128.9067753</t>
        </is>
      </c>
      <c r="F60" t="inlineStr">
        <is>
          <t>正保琉球国絵図写</t>
        </is>
      </c>
      <c r="G60" t="inlineStr">
        <is>
          <t>せたき村</t>
        </is>
      </c>
      <c r="H60" t="inlineStr"/>
      <c r="I60" t="inlineStr">
        <is>
          <t>〔54〕</t>
        </is>
      </c>
      <c r="J60" t="inlineStr"/>
      <c r="K60" t="inlineStr">
        <is>
          <t>鹿児島県大島郡天城町瀬滝</t>
        </is>
      </c>
      <c r="L60" s="1">
        <f>HYPERLINK("https://www.hi.u-tokyo.ac.jp/collection/degitalgallary/ryukyu/item/10059", "https://www.hi.u-tokyo.ac.jp/collection/degitalgallary/ryukyu/item/10059")</f>
        <v/>
      </c>
    </row>
    <row r="61">
      <c r="A61" t="inlineStr">
        <is>
          <t>10060</t>
        </is>
      </c>
      <c r="B61" t="inlineStr">
        <is>
          <t>面縄間切之内あこん村</t>
        </is>
      </c>
      <c r="C61" t="inlineStr">
        <is>
          <t>村</t>
        </is>
      </c>
      <c r="D61" t="inlineStr">
        <is>
          <t>27.7120116</t>
        </is>
      </c>
      <c r="E61" t="inlineStr">
        <is>
          <t>128.9276622</t>
        </is>
      </c>
      <c r="F61" t="inlineStr">
        <is>
          <t>正保琉球国絵図写</t>
        </is>
      </c>
      <c r="G61" t="inlineStr">
        <is>
          <t>あこん村</t>
        </is>
      </c>
      <c r="H61" t="inlineStr"/>
      <c r="I61" t="inlineStr">
        <is>
          <t>〔55〕</t>
        </is>
      </c>
      <c r="J61" t="inlineStr"/>
      <c r="K61" t="inlineStr">
        <is>
          <t>鹿児島県大島郡伊仙町阿権</t>
        </is>
      </c>
      <c r="L61" s="1">
        <f>HYPERLINK("https://www.hi.u-tokyo.ac.jp/collection/degitalgallary/ryukyu/item/10060", "https://www.hi.u-tokyo.ac.jp/collection/degitalgallary/ryukyu/item/10060")</f>
        <v/>
      </c>
    </row>
    <row r="62">
      <c r="A62" t="inlineStr">
        <is>
          <t>10061</t>
        </is>
      </c>
      <c r="B62" t="inlineStr">
        <is>
          <t>面縄間切</t>
        </is>
      </c>
      <c r="C62" t="inlineStr">
        <is>
          <t>間切</t>
        </is>
      </c>
      <c r="D62" t="inlineStr">
        <is>
          <t>27.6735195</t>
        </is>
      </c>
      <c r="E62" t="inlineStr">
        <is>
          <t>128.9378668</t>
        </is>
      </c>
      <c r="F62" t="inlineStr">
        <is>
          <t>正保琉球国絵図写</t>
        </is>
      </c>
      <c r="G62" t="inlineStr">
        <is>
          <t>三千九百八拾弐石余</t>
        </is>
      </c>
      <c r="H62" t="inlineStr"/>
      <c r="I62" t="inlineStr">
        <is>
          <t>〔56〕</t>
        </is>
      </c>
      <c r="J62" t="inlineStr">
        <is>
          <t>30020470000263700</t>
        </is>
      </c>
      <c r="K62" t="inlineStr">
        <is>
          <t>鹿児島県大島郡伊仙町伊仙</t>
        </is>
      </c>
      <c r="L62" s="1">
        <f>HYPERLINK("https://www.hi.u-tokyo.ac.jp/collection/degitalgallary/ryukyu/item/10061", "https://www.hi.u-tokyo.ac.jp/collection/degitalgallary/ryukyu/item/10061")</f>
        <v/>
      </c>
    </row>
    <row r="63">
      <c r="A63" t="inlineStr">
        <is>
          <t>10062</t>
        </is>
      </c>
      <c r="B63" t="inlineStr">
        <is>
          <t>きびる間切</t>
        </is>
      </c>
      <c r="C63" t="inlineStr">
        <is>
          <t>間切</t>
        </is>
      </c>
      <c r="D63" t="inlineStr">
        <is>
          <t>27.411801</t>
        </is>
      </c>
      <c r="E63" t="inlineStr">
        <is>
          <t>128.6700217</t>
        </is>
      </c>
      <c r="F63" t="inlineStr">
        <is>
          <t>正保琉球国絵図写</t>
        </is>
      </c>
      <c r="G63" t="inlineStr">
        <is>
          <t>千七百九拾石余</t>
        </is>
      </c>
      <c r="H63" t="inlineStr"/>
      <c r="I63" t="inlineStr">
        <is>
          <t>〔57〕</t>
        </is>
      </c>
      <c r="J63" t="inlineStr"/>
      <c r="K63" t="inlineStr">
        <is>
          <t>鹿児島県大島郡和泊町喜美留</t>
        </is>
      </c>
      <c r="L63" s="1">
        <f>HYPERLINK("https://www.hi.u-tokyo.ac.jp/collection/degitalgallary/ryukyu/item/10062", "https://www.hi.u-tokyo.ac.jp/collection/degitalgallary/ryukyu/item/10062")</f>
        <v/>
      </c>
    </row>
    <row r="64">
      <c r="A64" t="inlineStr">
        <is>
          <t>10063</t>
        </is>
      </c>
      <c r="B64" t="inlineStr">
        <is>
          <t>きひる間切之内あぜふ村</t>
        </is>
      </c>
      <c r="C64" t="inlineStr">
        <is>
          <t>村</t>
        </is>
      </c>
      <c r="D64" t="inlineStr">
        <is>
          <t>27.4039405</t>
        </is>
      </c>
      <c r="E64" t="inlineStr">
        <is>
          <t>128.6333198</t>
        </is>
      </c>
      <c r="F64" t="inlineStr">
        <is>
          <t>正保琉球国絵図写</t>
        </is>
      </c>
      <c r="G64" t="inlineStr">
        <is>
          <t>あぜふ村</t>
        </is>
      </c>
      <c r="H64" t="inlineStr"/>
      <c r="I64" t="inlineStr">
        <is>
          <t>〔58〕</t>
        </is>
      </c>
      <c r="J64" t="inlineStr"/>
      <c r="K64" t="inlineStr">
        <is>
          <t>鹿児島県大島郡和泊町畦布</t>
        </is>
      </c>
      <c r="L64" s="1">
        <f>HYPERLINK("https://www.hi.u-tokyo.ac.jp/collection/degitalgallary/ryukyu/item/10063", "https://www.hi.u-tokyo.ac.jp/collection/degitalgallary/ryukyu/item/10063")</f>
        <v/>
      </c>
    </row>
    <row r="65">
      <c r="A65" t="inlineStr">
        <is>
          <t>10064</t>
        </is>
      </c>
      <c r="B65" t="inlineStr">
        <is>
          <t>徳時間切之内西目村</t>
        </is>
      </c>
      <c r="C65" t="inlineStr">
        <is>
          <t>村</t>
        </is>
      </c>
      <c r="D65" t="inlineStr">
        <is>
          <t>27.3797757</t>
        </is>
      </c>
      <c r="E65" t="inlineStr">
        <is>
          <t>128.5703543</t>
        </is>
      </c>
      <c r="F65" t="inlineStr">
        <is>
          <t>正保琉球国絵図写</t>
        </is>
      </c>
      <c r="G65" t="inlineStr">
        <is>
          <t>西目村</t>
        </is>
      </c>
      <c r="H65" t="inlineStr"/>
      <c r="I65" t="inlineStr">
        <is>
          <t>〔59〕</t>
        </is>
      </c>
      <c r="J65" t="inlineStr"/>
      <c r="K65" t="inlineStr">
        <is>
          <t>鹿児島県大島郡知名町上城</t>
        </is>
      </c>
      <c r="L65" s="1">
        <f>HYPERLINK("https://www.hi.u-tokyo.ac.jp/collection/degitalgallary/ryukyu/item/10064", "https://www.hi.u-tokyo.ac.jp/collection/degitalgallary/ryukyu/item/10064")</f>
        <v/>
      </c>
    </row>
    <row r="66">
      <c r="A66" t="inlineStr">
        <is>
          <t>10065</t>
        </is>
      </c>
      <c r="B66" t="inlineStr">
        <is>
          <t>徳時間切</t>
        </is>
      </c>
      <c r="C66" t="inlineStr">
        <is>
          <t>間切</t>
        </is>
      </c>
      <c r="D66" t="inlineStr">
        <is>
          <t>27.353573</t>
        </is>
      </c>
      <c r="E66" t="inlineStr">
        <is>
          <t>128.5401619</t>
        </is>
      </c>
      <c r="F66" t="inlineStr">
        <is>
          <t>正保琉球国絵図写</t>
        </is>
      </c>
      <c r="G66" t="inlineStr">
        <is>
          <t>千七百八十石余</t>
        </is>
      </c>
      <c r="H66" t="inlineStr"/>
      <c r="I66" t="inlineStr">
        <is>
          <t>〔60〕</t>
        </is>
      </c>
      <c r="J66" t="inlineStr">
        <is>
          <t>30020470000266500</t>
        </is>
      </c>
      <c r="K66" t="inlineStr">
        <is>
          <t>鹿児島県大島郡知名町徳時</t>
        </is>
      </c>
      <c r="L66" s="1">
        <f>HYPERLINK("https://www.hi.u-tokyo.ac.jp/collection/degitalgallary/ryukyu/item/10065", "https://www.hi.u-tokyo.ac.jp/collection/degitalgallary/ryukyu/item/10065")</f>
        <v/>
      </c>
    </row>
    <row r="67">
      <c r="A67" t="inlineStr">
        <is>
          <t>10066</t>
        </is>
      </c>
      <c r="B67" t="inlineStr">
        <is>
          <t>徳時間切之内ぢな村</t>
        </is>
      </c>
      <c r="C67" t="inlineStr">
        <is>
          <t>村</t>
        </is>
      </c>
      <c r="D67" t="inlineStr">
        <is>
          <t>27.3350964</t>
        </is>
      </c>
      <c r="E67" t="inlineStr">
        <is>
          <t>128.5664169</t>
        </is>
      </c>
      <c r="F67" t="inlineStr">
        <is>
          <t>正保琉球国絵図写</t>
        </is>
      </c>
      <c r="G67" t="inlineStr">
        <is>
          <t>ぢな村</t>
        </is>
      </c>
      <c r="H67" t="inlineStr"/>
      <c r="I67" t="inlineStr">
        <is>
          <t>〔61〕</t>
        </is>
      </c>
      <c r="J67" t="inlineStr"/>
      <c r="K67" t="inlineStr">
        <is>
          <t>鹿児島県大島郡知名町知名</t>
        </is>
      </c>
      <c r="L67" s="1">
        <f>HYPERLINK("https://www.hi.u-tokyo.ac.jp/collection/degitalgallary/ryukyu/item/10066", "https://www.hi.u-tokyo.ac.jp/collection/degitalgallary/ryukyu/item/10066")</f>
        <v/>
      </c>
    </row>
    <row r="68">
      <c r="A68" t="inlineStr">
        <is>
          <t>10067</t>
        </is>
      </c>
      <c r="B68" t="inlineStr">
        <is>
          <t>大城間切之内下平川村</t>
        </is>
      </c>
      <c r="C68" t="inlineStr">
        <is>
          <t>村</t>
        </is>
      </c>
      <c r="D68" t="inlineStr">
        <is>
          <t>27.3605179</t>
        </is>
      </c>
      <c r="E68" t="inlineStr">
        <is>
          <t>128.5913495</t>
        </is>
      </c>
      <c r="F68" t="inlineStr">
        <is>
          <t>正保琉球国絵図写</t>
        </is>
      </c>
      <c r="G68" t="inlineStr">
        <is>
          <t>下平川村</t>
        </is>
      </c>
      <c r="H68" t="inlineStr"/>
      <c r="I68" t="inlineStr">
        <is>
          <t>〔62〕</t>
        </is>
      </c>
      <c r="J68" t="inlineStr"/>
      <c r="K68" t="inlineStr">
        <is>
          <t>鹿児島県大島郡知名町下平川</t>
        </is>
      </c>
      <c r="L68" s="1">
        <f>HYPERLINK("https://www.hi.u-tokyo.ac.jp/collection/degitalgallary/ryukyu/item/10067", "https://www.hi.u-tokyo.ac.jp/collection/degitalgallary/ryukyu/item/10067")</f>
        <v/>
      </c>
    </row>
    <row r="69">
      <c r="A69" t="inlineStr">
        <is>
          <t>10068</t>
        </is>
      </c>
      <c r="B69" t="inlineStr">
        <is>
          <t>大城間切</t>
        </is>
      </c>
      <c r="C69" t="inlineStr">
        <is>
          <t>間切</t>
        </is>
      </c>
      <c r="D69" t="inlineStr">
        <is>
          <t>27.3776145</t>
        </is>
      </c>
      <c r="E69" t="inlineStr">
        <is>
          <t>128.6188955</t>
        </is>
      </c>
      <c r="F69" t="inlineStr">
        <is>
          <t>正保琉球国絵図写</t>
        </is>
      </c>
      <c r="G69" t="inlineStr">
        <is>
          <t>五百八十八石余</t>
        </is>
      </c>
      <c r="H69" t="inlineStr"/>
      <c r="I69" t="inlineStr">
        <is>
          <t>〔63〕</t>
        </is>
      </c>
      <c r="J69" t="inlineStr">
        <is>
          <t>30020470000266800</t>
        </is>
      </c>
      <c r="K69" t="inlineStr">
        <is>
          <t>鹿児島県大島郡和泊町大城</t>
        </is>
      </c>
      <c r="L69" s="1">
        <f>HYPERLINK("https://www.hi.u-tokyo.ac.jp/collection/degitalgallary/ryukyu/item/10068", "https://www.hi.u-tokyo.ac.jp/collection/degitalgallary/ryukyu/item/10068")</f>
        <v/>
      </c>
    </row>
    <row r="70">
      <c r="A70" t="inlineStr">
        <is>
          <t>10069</t>
        </is>
      </c>
      <c r="B70" t="inlineStr">
        <is>
          <t>大城間切之内和村</t>
        </is>
      </c>
      <c r="C70" t="inlineStr">
        <is>
          <t>村</t>
        </is>
      </c>
      <c r="D70" t="inlineStr">
        <is>
          <t>27.395595926733545</t>
        </is>
      </c>
      <c r="E70" t="inlineStr">
        <is>
          <t>128.63988101163653</t>
        </is>
      </c>
      <c r="F70" t="inlineStr">
        <is>
          <t>正保琉球国絵図写</t>
        </is>
      </c>
      <c r="G70" t="inlineStr">
        <is>
          <t>和村</t>
        </is>
      </c>
      <c r="H70" t="inlineStr"/>
      <c r="I70" t="inlineStr">
        <is>
          <t>〔64〕</t>
        </is>
      </c>
      <c r="J70" t="inlineStr"/>
      <c r="K70" t="inlineStr">
        <is>
          <t>鹿児島県大島郡和泊町和</t>
        </is>
      </c>
      <c r="L70" s="1">
        <f>HYPERLINK("https://www.hi.u-tokyo.ac.jp/collection/degitalgallary/ryukyu/item/10069", "https://www.hi.u-tokyo.ac.jp/collection/degitalgallary/ryukyu/item/10069")</f>
        <v/>
      </c>
    </row>
    <row r="71">
      <c r="A71" t="inlineStr">
        <is>
          <t>10070</t>
        </is>
      </c>
      <c r="B71" t="inlineStr">
        <is>
          <t>むきや村</t>
        </is>
      </c>
      <c r="C71" t="inlineStr">
        <is>
          <t>村</t>
        </is>
      </c>
      <c r="D71" t="inlineStr">
        <is>
          <t>27.0309176</t>
        </is>
      </c>
      <c r="E71" t="inlineStr">
        <is>
          <t>128.4455395</t>
        </is>
      </c>
      <c r="F71" t="inlineStr">
        <is>
          <t>正保琉球国絵図写</t>
        </is>
      </c>
      <c r="G71" t="inlineStr">
        <is>
          <t>千二百七拾弐石余</t>
        </is>
      </c>
      <c r="H71" t="inlineStr"/>
      <c r="I71" t="inlineStr">
        <is>
          <t>〔65〕</t>
        </is>
      </c>
      <c r="J71" t="inlineStr"/>
      <c r="K71" t="inlineStr">
        <is>
          <t>鹿児島県大島郡与論町麦屋</t>
        </is>
      </c>
      <c r="L71" s="1">
        <f>HYPERLINK("https://www.hi.u-tokyo.ac.jp/collection/degitalgallary/ryukyu/item/10070", "https://www.hi.u-tokyo.ac.jp/collection/degitalgallary/ryukyu/item/10070")</f>
        <v/>
      </c>
    </row>
    <row r="72">
      <c r="A72" t="inlineStr">
        <is>
          <t>10071</t>
        </is>
      </c>
      <c r="B72" t="inlineStr">
        <is>
          <t>むきや村内あがさ村</t>
        </is>
      </c>
      <c r="C72" t="inlineStr">
        <is>
          <t>村</t>
        </is>
      </c>
      <c r="D72" t="inlineStr">
        <is>
          <t>27.0493098</t>
        </is>
      </c>
      <c r="E72" t="inlineStr">
        <is>
          <t>128.414953</t>
        </is>
      </c>
      <c r="F72" t="inlineStr">
        <is>
          <t>正保琉球国絵図写</t>
        </is>
      </c>
      <c r="G72" t="inlineStr">
        <is>
          <t>あがさ村</t>
        </is>
      </c>
      <c r="H72" t="inlineStr"/>
      <c r="I72" t="inlineStr">
        <is>
          <t>〔66〕</t>
        </is>
      </c>
      <c r="J72" t="inlineStr"/>
      <c r="K72" t="inlineStr">
        <is>
          <t>鹿児島県大島郡与論町茶花</t>
        </is>
      </c>
      <c r="L72" s="1">
        <f>HYPERLINK("https://www.hi.u-tokyo.ac.jp/collection/degitalgallary/ryukyu/item/10071", "https://www.hi.u-tokyo.ac.jp/collection/degitalgallary/ryukyu/item/10071")</f>
        <v/>
      </c>
    </row>
    <row r="73">
      <c r="A73" t="inlineStr">
        <is>
          <t>10072</t>
        </is>
      </c>
      <c r="B73" t="inlineStr">
        <is>
          <t>鬼界嶋
高六千九百三拾弐石四斗
嶋廻六里廿四町</t>
        </is>
      </c>
      <c r="C73" t="inlineStr">
        <is>
          <t>島</t>
        </is>
      </c>
      <c r="D73" t="inlineStr">
        <is>
          <t>28.3216123</t>
        </is>
      </c>
      <c r="E73" t="inlineStr">
        <is>
          <t>129.9709674</t>
        </is>
      </c>
      <c r="F73" t="inlineStr">
        <is>
          <t>正保琉球国絵図写</t>
        </is>
      </c>
      <c r="G73" t="inlineStr"/>
      <c r="H73" t="inlineStr"/>
      <c r="I73" t="inlineStr">
        <is>
          <t>1</t>
        </is>
      </c>
      <c r="J73" t="inlineStr"/>
      <c r="K73" t="inlineStr">
        <is>
          <t>鹿児島県大島郡喜界町島中</t>
        </is>
      </c>
      <c r="L73" s="1">
        <f>HYPERLINK("https://www.hi.u-tokyo.ac.jp/collection/degitalgallary/ryukyu/item/10072", "https://www.hi.u-tokyo.ac.jp/collection/degitalgallary/ryukyu/item/10072")</f>
        <v/>
      </c>
    </row>
    <row r="74">
      <c r="A74" t="inlineStr">
        <is>
          <t>10073</t>
        </is>
      </c>
      <c r="B74" t="inlineStr">
        <is>
          <t>八幡宮</t>
        </is>
      </c>
      <c r="C74" t="inlineStr">
        <is>
          <t>寺社</t>
        </is>
      </c>
      <c r="D74" t="inlineStr">
        <is>
          <t>28.312544</t>
        </is>
      </c>
      <c r="E74" t="inlineStr">
        <is>
          <t>129.962715</t>
        </is>
      </c>
      <c r="F74" t="inlineStr">
        <is>
          <t>正保琉球国絵図写</t>
        </is>
      </c>
      <c r="G74" t="inlineStr"/>
      <c r="H74" t="inlineStr"/>
      <c r="I74" t="inlineStr">
        <is>
          <t>2</t>
        </is>
      </c>
      <c r="J74" t="inlineStr"/>
      <c r="K74" t="inlineStr">
        <is>
          <t>鹿児島県大島郡喜界町城久</t>
        </is>
      </c>
      <c r="L74" s="1">
        <f>HYPERLINK("https://www.hi.u-tokyo.ac.jp/collection/degitalgallary/ryukyu/item/10073", "https://www.hi.u-tokyo.ac.jp/collection/degitalgallary/ryukyu/item/10073")</f>
        <v/>
      </c>
    </row>
    <row r="75">
      <c r="A75" t="inlineStr">
        <is>
          <t>10074</t>
        </is>
      </c>
      <c r="B75" t="inlineStr">
        <is>
          <t>おかみ山</t>
        </is>
      </c>
      <c r="C75" t="inlineStr">
        <is>
          <t>山</t>
        </is>
      </c>
      <c r="D75" t="inlineStr"/>
      <c r="E75" t="inlineStr"/>
      <c r="F75" t="inlineStr">
        <is>
          <t>正保琉球国絵図写</t>
        </is>
      </c>
      <c r="G75" t="inlineStr"/>
      <c r="H75" t="inlineStr"/>
      <c r="I75" t="inlineStr">
        <is>
          <t>3</t>
        </is>
      </c>
      <c r="J75" t="inlineStr"/>
      <c r="K75" t="inlineStr"/>
      <c r="L75" s="1">
        <f>HYPERLINK("https://www.hi.u-tokyo.ac.jp/collection/degitalgallary/ryukyu/item/10074", "https://www.hi.u-tokyo.ac.jp/collection/degitalgallary/ryukyu/item/10074")</f>
        <v/>
      </c>
    </row>
    <row r="76">
      <c r="A76" t="inlineStr">
        <is>
          <t>10075</t>
        </is>
      </c>
      <c r="B76" t="inlineStr">
        <is>
          <t>とひよ崎</t>
        </is>
      </c>
      <c r="C76" t="inlineStr">
        <is>
          <t>崎</t>
        </is>
      </c>
      <c r="D76" t="inlineStr">
        <is>
          <t>28.3781929</t>
        </is>
      </c>
      <c r="E76" t="inlineStr">
        <is>
          <t>130.019795</t>
        </is>
      </c>
      <c r="F76" t="inlineStr">
        <is>
          <t>正保琉球国絵図写</t>
        </is>
      </c>
      <c r="G76" t="inlineStr"/>
      <c r="H76" t="inlineStr"/>
      <c r="I76" t="inlineStr">
        <is>
          <t>4</t>
        </is>
      </c>
      <c r="J76" t="inlineStr"/>
      <c r="K76" t="inlineStr">
        <is>
          <t>鹿児島県大島郡喜界町小野津</t>
        </is>
      </c>
      <c r="L76" s="1">
        <f>HYPERLINK("https://www.hi.u-tokyo.ac.jp/collection/degitalgallary/ryukyu/item/10075", "https://www.hi.u-tokyo.ac.jp/collection/degitalgallary/ryukyu/item/10075")</f>
        <v/>
      </c>
    </row>
    <row r="77">
      <c r="A77" t="inlineStr">
        <is>
          <t>10076</t>
        </is>
      </c>
      <c r="B77" t="inlineStr">
        <is>
          <t>をのつ崎</t>
        </is>
      </c>
      <c r="C77" t="inlineStr">
        <is>
          <t>崎</t>
        </is>
      </c>
      <c r="D77" t="inlineStr">
        <is>
          <t>28.3662751</t>
        </is>
      </c>
      <c r="E77" t="inlineStr">
        <is>
          <t>129.9989043</t>
        </is>
      </c>
      <c r="F77" t="inlineStr">
        <is>
          <t>正保琉球国絵図写</t>
        </is>
      </c>
      <c r="G77" t="inlineStr"/>
      <c r="H77" t="inlineStr"/>
      <c r="I77" t="inlineStr">
        <is>
          <t>5</t>
        </is>
      </c>
      <c r="J77" t="inlineStr"/>
      <c r="K77" t="inlineStr">
        <is>
          <t>鹿児島県大島郡喜界町小野津</t>
        </is>
      </c>
      <c r="L77" s="1">
        <f>HYPERLINK("https://www.hi.u-tokyo.ac.jp/collection/degitalgallary/ryukyu/item/10076", "https://www.hi.u-tokyo.ac.jp/collection/degitalgallary/ryukyu/item/10076")</f>
        <v/>
      </c>
    </row>
    <row r="78">
      <c r="A78" t="inlineStr">
        <is>
          <t>10077</t>
        </is>
      </c>
      <c r="B78" t="inlineStr">
        <is>
          <t>大船出入なし</t>
        </is>
      </c>
      <c r="C78" t="inlineStr">
        <is>
          <t>港湾</t>
        </is>
      </c>
      <c r="D78" t="inlineStr"/>
      <c r="E78" t="inlineStr"/>
      <c r="F78" t="inlineStr">
        <is>
          <t>正保琉球国絵図写</t>
        </is>
      </c>
      <c r="G78" t="inlineStr"/>
      <c r="H78" t="inlineStr"/>
      <c r="I78" t="inlineStr">
        <is>
          <t>6</t>
        </is>
      </c>
      <c r="J78" t="inlineStr"/>
      <c r="K78" t="inlineStr"/>
      <c r="L78" s="1">
        <f>HYPERLINK("https://www.hi.u-tokyo.ac.jp/collection/degitalgallary/ryukyu/item/10077", "https://www.hi.u-tokyo.ac.jp/collection/degitalgallary/ryukyu/item/10077")</f>
        <v/>
      </c>
    </row>
    <row r="79">
      <c r="A79" t="inlineStr">
        <is>
          <t>10078</t>
        </is>
      </c>
      <c r="B79" t="inlineStr">
        <is>
          <t>わん泊</t>
        </is>
      </c>
      <c r="C79" t="inlineStr">
        <is>
          <t>港湾</t>
        </is>
      </c>
      <c r="D79" t="inlineStr">
        <is>
          <t>28.3240384</t>
        </is>
      </c>
      <c r="E79" t="inlineStr">
        <is>
          <t>129.9369348</t>
        </is>
      </c>
      <c r="F79" t="inlineStr">
        <is>
          <t>正保琉球国絵図写</t>
        </is>
      </c>
      <c r="G79" t="inlineStr">
        <is>
          <t>此わん泊湊、入一町半、広さ一町、深さ四尋瀬有之故、大船出入不自由、北風西風之時船かゝり不成</t>
        </is>
      </c>
      <c r="H79" t="inlineStr"/>
      <c r="I79" t="inlineStr">
        <is>
          <t>7</t>
        </is>
      </c>
      <c r="J79" t="inlineStr"/>
      <c r="K79" t="inlineStr">
        <is>
          <t>鹿児島県大島郡喜界町湾</t>
        </is>
      </c>
      <c r="L79" s="1">
        <f>HYPERLINK("https://www.hi.u-tokyo.ac.jp/collection/degitalgallary/ryukyu/item/10078", "https://www.hi.u-tokyo.ac.jp/collection/degitalgallary/ryukyu/item/10078")</f>
        <v/>
      </c>
    </row>
    <row r="80">
      <c r="A80" t="inlineStr">
        <is>
          <t>10079</t>
        </is>
      </c>
      <c r="B80" t="inlineStr">
        <is>
          <t>はいき崎</t>
        </is>
      </c>
      <c r="C80" t="inlineStr">
        <is>
          <t>崎</t>
        </is>
      </c>
      <c r="D80" t="inlineStr">
        <is>
          <t>28.3292196</t>
        </is>
      </c>
      <c r="E80" t="inlineStr">
        <is>
          <t>129.9388753</t>
        </is>
      </c>
      <c r="F80" t="inlineStr">
        <is>
          <t>正保琉球国絵図写</t>
        </is>
      </c>
      <c r="G80" t="inlineStr"/>
      <c r="H80" t="inlineStr"/>
      <c r="I80" t="inlineStr">
        <is>
          <t>8</t>
        </is>
      </c>
      <c r="J80" t="inlineStr"/>
      <c r="K80" t="inlineStr">
        <is>
          <t>鹿児島県大島郡喜界町赤連</t>
        </is>
      </c>
      <c r="L80" s="1">
        <f>HYPERLINK("https://www.hi.u-tokyo.ac.jp/collection/degitalgallary/ryukyu/item/10079", "https://www.hi.u-tokyo.ac.jp/collection/degitalgallary/ryukyu/item/10079")</f>
        <v/>
      </c>
    </row>
    <row r="81">
      <c r="A81" t="inlineStr">
        <is>
          <t>10080</t>
        </is>
      </c>
      <c r="B81" t="inlineStr">
        <is>
          <t>あら崎</t>
        </is>
      </c>
      <c r="C81" t="inlineStr">
        <is>
          <t>崎</t>
        </is>
      </c>
      <c r="D81" t="inlineStr">
        <is>
          <t>28.2901192</t>
        </is>
      </c>
      <c r="E81" t="inlineStr">
        <is>
          <t>129.9215361</t>
        </is>
      </c>
      <c r="F81" t="inlineStr">
        <is>
          <t>正保琉球国絵図写</t>
        </is>
      </c>
      <c r="G81" t="inlineStr"/>
      <c r="H81" t="inlineStr"/>
      <c r="I81" t="inlineStr">
        <is>
          <t>9</t>
        </is>
      </c>
      <c r="J81" t="inlineStr"/>
      <c r="K81" t="inlineStr">
        <is>
          <t>鹿児島県大島郡喜界町荒木</t>
        </is>
      </c>
      <c r="L81" s="1">
        <f>HYPERLINK("https://www.hi.u-tokyo.ac.jp/collection/degitalgallary/ryukyu/item/10080", "https://www.hi.u-tokyo.ac.jp/collection/degitalgallary/ryukyu/item/10080")</f>
        <v/>
      </c>
    </row>
    <row r="82">
      <c r="A82" t="inlineStr">
        <is>
          <t>10081</t>
        </is>
      </c>
      <c r="B82" t="inlineStr">
        <is>
          <t>しつる崎</t>
        </is>
      </c>
      <c r="C82" t="inlineStr">
        <is>
          <t>崎</t>
        </is>
      </c>
      <c r="D82" t="inlineStr">
        <is>
          <t>28.283932</t>
        </is>
      </c>
      <c r="E82" t="inlineStr">
        <is>
          <t>129.9474153</t>
        </is>
      </c>
      <c r="F82" t="inlineStr">
        <is>
          <t>正保琉球国絵図写</t>
        </is>
      </c>
      <c r="G82" t="inlineStr"/>
      <c r="H82" t="inlineStr"/>
      <c r="I82" t="inlineStr">
        <is>
          <t>10</t>
        </is>
      </c>
      <c r="J82" t="inlineStr"/>
      <c r="K82" t="inlineStr">
        <is>
          <t>鹿児島県大島郡喜界町上嘉鉄</t>
        </is>
      </c>
      <c r="L82" s="1">
        <f>HYPERLINK("https://www.hi.u-tokyo.ac.jp/collection/degitalgallary/ryukyu/item/10081", "https://www.hi.u-tokyo.ac.jp/collection/degitalgallary/ryukyu/item/10081")</f>
        <v/>
      </c>
    </row>
    <row r="83">
      <c r="A83" t="inlineStr">
        <is>
          <t>10082</t>
        </is>
      </c>
      <c r="B83" t="inlineStr">
        <is>
          <t>かまふ崎</t>
        </is>
      </c>
      <c r="C83" t="inlineStr">
        <is>
          <t>崎</t>
        </is>
      </c>
      <c r="D83" t="inlineStr">
        <is>
          <t>28.288801</t>
        </is>
      </c>
      <c r="E83" t="inlineStr">
        <is>
          <t>129.977338</t>
        </is>
      </c>
      <c r="F83" t="inlineStr">
        <is>
          <t>正保琉球国絵図写</t>
        </is>
      </c>
      <c r="G83" t="inlineStr"/>
      <c r="H83" t="inlineStr"/>
      <c r="I83" t="inlineStr">
        <is>
          <t>11</t>
        </is>
      </c>
      <c r="J83" t="inlineStr"/>
      <c r="K83" t="inlineStr">
        <is>
          <t>鹿児島県大島郡喜界町花良治</t>
        </is>
      </c>
      <c r="L83" s="1">
        <f>HYPERLINK("https://www.hi.u-tokyo.ac.jp/collection/degitalgallary/ryukyu/item/10082", "https://www.hi.u-tokyo.ac.jp/collection/degitalgallary/ryukyu/item/10082")</f>
        <v/>
      </c>
    </row>
    <row r="84">
      <c r="A84" t="inlineStr">
        <is>
          <t>10083</t>
        </is>
      </c>
      <c r="B84" t="inlineStr">
        <is>
          <t>大船出入なし</t>
        </is>
      </c>
      <c r="C84" t="inlineStr">
        <is>
          <t>港湾</t>
        </is>
      </c>
      <c r="D84" t="inlineStr"/>
      <c r="E84" t="inlineStr"/>
      <c r="F84" t="inlineStr">
        <is>
          <t>正保琉球国絵図写</t>
        </is>
      </c>
      <c r="G84" t="inlineStr"/>
      <c r="H84" t="inlineStr"/>
      <c r="I84" t="inlineStr">
        <is>
          <t>12</t>
        </is>
      </c>
      <c r="J84" t="inlineStr"/>
      <c r="K84" t="inlineStr"/>
      <c r="L84" s="1">
        <f>HYPERLINK("https://www.hi.u-tokyo.ac.jp/collection/degitalgallary/ryukyu/item/10083", "https://www.hi.u-tokyo.ac.jp/collection/degitalgallary/ryukyu/item/10083")</f>
        <v/>
      </c>
    </row>
    <row r="85">
      <c r="A85" t="inlineStr">
        <is>
          <t>10084</t>
        </is>
      </c>
      <c r="B85" t="inlineStr">
        <is>
          <t>大船出入なし</t>
        </is>
      </c>
      <c r="C85" t="inlineStr">
        <is>
          <t>港湾</t>
        </is>
      </c>
      <c r="D85" t="inlineStr"/>
      <c r="E85" t="inlineStr"/>
      <c r="F85" t="inlineStr">
        <is>
          <t>正保琉球国絵図写</t>
        </is>
      </c>
      <c r="G85" t="inlineStr"/>
      <c r="H85" t="inlineStr"/>
      <c r="I85" t="inlineStr">
        <is>
          <t>13</t>
        </is>
      </c>
      <c r="J85" t="inlineStr"/>
      <c r="K85" t="inlineStr"/>
      <c r="L85" s="1">
        <f>HYPERLINK("https://www.hi.u-tokyo.ac.jp/collection/degitalgallary/ryukyu/item/10084", "https://www.hi.u-tokyo.ac.jp/collection/degitalgallary/ryukyu/item/10084")</f>
        <v/>
      </c>
    </row>
    <row r="86">
      <c r="A86" t="inlineStr">
        <is>
          <t>10085</t>
        </is>
      </c>
      <c r="B86" t="inlineStr">
        <is>
          <t>（合印）</t>
        </is>
      </c>
      <c r="C86" t="inlineStr">
        <is>
          <t>その他</t>
        </is>
      </c>
      <c r="D86" t="inlineStr"/>
      <c r="E86" t="inlineStr"/>
      <c r="F86" t="inlineStr">
        <is>
          <t>正保琉球国絵図写</t>
        </is>
      </c>
      <c r="G86" t="inlineStr"/>
      <c r="H86" t="inlineStr">
        <is>
          <t>▽</t>
        </is>
      </c>
      <c r="I86" t="inlineStr"/>
      <c r="J86" t="inlineStr"/>
      <c r="K86" t="inlineStr"/>
      <c r="L86" s="1">
        <f>HYPERLINK("https://www.hi.u-tokyo.ac.jp/collection/degitalgallary/ryukyu/item/10085", "https://www.hi.u-tokyo.ac.jp/collection/degitalgallary/ryukyu/item/10085")</f>
        <v/>
      </c>
    </row>
    <row r="87">
      <c r="A87" t="inlineStr">
        <is>
          <t>10086</t>
        </is>
      </c>
      <c r="B87" t="inlineStr">
        <is>
          <t>あまみすか渡</t>
        </is>
      </c>
      <c r="C87" t="inlineStr">
        <is>
          <t>航路</t>
        </is>
      </c>
      <c r="D87" t="inlineStr"/>
      <c r="E87" t="inlineStr"/>
      <c r="F87" t="inlineStr">
        <is>
          <t>正保琉球国絵図写</t>
        </is>
      </c>
      <c r="G87" t="inlineStr"/>
      <c r="H87" t="inlineStr"/>
      <c r="I87" t="inlineStr">
        <is>
          <t>14</t>
        </is>
      </c>
      <c r="J87" t="inlineStr"/>
      <c r="K87" t="inlineStr"/>
      <c r="L87" s="1">
        <f>HYPERLINK("https://www.hi.u-tokyo.ac.jp/collection/degitalgallary/ryukyu/item/10086", "https://www.hi.u-tokyo.ac.jp/collection/degitalgallary/ryukyu/item/10086")</f>
        <v/>
      </c>
    </row>
    <row r="88">
      <c r="A88" t="inlineStr">
        <is>
          <t>10087</t>
        </is>
      </c>
      <c r="B88" t="inlineStr">
        <is>
          <t>大隅国之内口之永良部嶋ヨリ大嶋之内ふかいか浦湊迄、海上七十里午ノ方ニ当ル</t>
        </is>
      </c>
      <c r="C88" t="inlineStr">
        <is>
          <t>航路</t>
        </is>
      </c>
      <c r="D88" t="inlineStr"/>
      <c r="E88" t="inlineStr"/>
      <c r="F88" t="inlineStr">
        <is>
          <t>正保琉球国絵図写</t>
        </is>
      </c>
      <c r="G88" t="inlineStr"/>
      <c r="H88" t="inlineStr"/>
      <c r="I88" t="inlineStr"/>
      <c r="J88" t="inlineStr"/>
      <c r="K88" t="inlineStr"/>
      <c r="L88" s="1">
        <f>HYPERLINK("https://www.hi.u-tokyo.ac.jp/collection/degitalgallary/ryukyu/item/10087", "https://www.hi.u-tokyo.ac.jp/collection/degitalgallary/ryukyu/item/10087")</f>
        <v/>
      </c>
    </row>
    <row r="89">
      <c r="A89" t="inlineStr">
        <is>
          <t>10088</t>
        </is>
      </c>
      <c r="B89" t="inlineStr">
        <is>
          <t>（合印）</t>
        </is>
      </c>
      <c r="C89" t="inlineStr">
        <is>
          <t>その他</t>
        </is>
      </c>
      <c r="D89" t="inlineStr"/>
      <c r="E89" t="inlineStr"/>
      <c r="F89" t="inlineStr">
        <is>
          <t>正保琉球国絵図写</t>
        </is>
      </c>
      <c r="G89" t="inlineStr"/>
      <c r="H89" t="inlineStr">
        <is>
          <t>□</t>
        </is>
      </c>
      <c r="I89" t="inlineStr"/>
      <c r="J89" t="inlineStr"/>
      <c r="K89" t="inlineStr"/>
      <c r="L89" s="1">
        <f>HYPERLINK("https://www.hi.u-tokyo.ac.jp/collection/degitalgallary/ryukyu/item/10088", "https://www.hi.u-tokyo.ac.jp/collection/degitalgallary/ryukyu/item/10088")</f>
        <v/>
      </c>
    </row>
    <row r="90">
      <c r="A90" t="inlineStr">
        <is>
          <t>10089</t>
        </is>
      </c>
      <c r="B90" t="inlineStr">
        <is>
          <t>七嶋之内とから嶋よりふかいか浦湊迄、海上三十五里巳之方ニ当ル、此渡昼夜共ニ潮東へ落ス</t>
        </is>
      </c>
      <c r="C90" t="inlineStr">
        <is>
          <t>航路</t>
        </is>
      </c>
      <c r="D90" t="inlineStr"/>
      <c r="E90" t="inlineStr"/>
      <c r="F90" t="inlineStr">
        <is>
          <t>正保琉球国絵図写</t>
        </is>
      </c>
      <c r="G90" t="inlineStr"/>
      <c r="H90" t="inlineStr"/>
      <c r="I90" t="inlineStr">
        <is>
          <t>15</t>
        </is>
      </c>
      <c r="J90" t="inlineStr"/>
      <c r="K90" t="inlineStr"/>
      <c r="L90" s="1">
        <f>HYPERLINK("https://www.hi.u-tokyo.ac.jp/collection/degitalgallary/ryukyu/item/10089", "https://www.hi.u-tokyo.ac.jp/collection/degitalgallary/ryukyu/item/10089")</f>
        <v/>
      </c>
    </row>
    <row r="91">
      <c r="A91" t="inlineStr">
        <is>
          <t>10090</t>
        </is>
      </c>
      <c r="B91" t="inlineStr">
        <is>
          <t>ふかいか浦湊より名瀬之湊迄、海上三里</t>
        </is>
      </c>
      <c r="C91" t="inlineStr">
        <is>
          <t>航路</t>
        </is>
      </c>
      <c r="D91" t="inlineStr"/>
      <c r="E91" t="inlineStr"/>
      <c r="F91" t="inlineStr">
        <is>
          <t>正保琉球国絵図写</t>
        </is>
      </c>
      <c r="G91" t="inlineStr"/>
      <c r="H91" t="inlineStr"/>
      <c r="I91" t="inlineStr">
        <is>
          <t>16</t>
        </is>
      </c>
      <c r="J91" t="inlineStr"/>
      <c r="K91" t="inlineStr"/>
      <c r="L91" s="1">
        <f>HYPERLINK("https://www.hi.u-tokyo.ac.jp/collection/degitalgallary/ryukyu/item/10090", "https://www.hi.u-tokyo.ac.jp/collection/degitalgallary/ryukyu/item/10090")</f>
        <v/>
      </c>
    </row>
    <row r="92">
      <c r="A92" t="inlineStr">
        <is>
          <t>10091</t>
        </is>
      </c>
      <c r="B92" t="inlineStr">
        <is>
          <t>ふかいか浦湊</t>
        </is>
      </c>
      <c r="C92" t="inlineStr">
        <is>
          <t>港湾</t>
        </is>
      </c>
      <c r="D92" t="inlineStr">
        <is>
          <t>28.4211899</t>
        </is>
      </c>
      <c r="E92" t="inlineStr">
        <is>
          <t>129.5977798</t>
        </is>
      </c>
      <c r="F92" t="inlineStr">
        <is>
          <t>正保琉球国絵図写</t>
        </is>
      </c>
      <c r="G92" t="inlineStr">
        <is>
          <t>此ふかいか浦湊、入三十町、広さ四町、深さ十三尋、南風ニ船繋り不自由、大船三十艘程繋ル</t>
        </is>
      </c>
      <c r="H92" t="inlineStr"/>
      <c r="I92" t="inlineStr">
        <is>
          <t>17</t>
        </is>
      </c>
      <c r="J92" t="inlineStr"/>
      <c r="K92" t="inlineStr">
        <is>
          <t>鹿児島県大島郡龍郷町瀬留</t>
        </is>
      </c>
      <c r="L92" s="1">
        <f>HYPERLINK("https://www.hi.u-tokyo.ac.jp/collection/degitalgallary/ryukyu/item/10091", "https://www.hi.u-tokyo.ac.jp/collection/degitalgallary/ryukyu/item/10091")</f>
        <v/>
      </c>
    </row>
    <row r="93">
      <c r="A93" t="inlineStr">
        <is>
          <t>10092</t>
        </is>
      </c>
      <c r="B93" t="inlineStr">
        <is>
          <t>いまてく崎</t>
        </is>
      </c>
      <c r="C93" t="inlineStr">
        <is>
          <t>崎</t>
        </is>
      </c>
      <c r="D93" t="inlineStr">
        <is>
          <t>28.4492274</t>
        </is>
      </c>
      <c r="E93" t="inlineStr">
        <is>
          <t>129.6223079</t>
        </is>
      </c>
      <c r="F93" t="inlineStr">
        <is>
          <t>正保琉球国絵図写</t>
        </is>
      </c>
      <c r="G93" t="inlineStr"/>
      <c r="H93" t="inlineStr"/>
      <c r="I93" t="inlineStr">
        <is>
          <t>18</t>
        </is>
      </c>
      <c r="J93" t="inlineStr"/>
      <c r="K93" t="inlineStr">
        <is>
          <t>鹿児島県大島郡龍郷町芦徳</t>
        </is>
      </c>
      <c r="L93" s="1">
        <f>HYPERLINK("https://www.hi.u-tokyo.ac.jp/collection/degitalgallary/ryukyu/item/10092", "https://www.hi.u-tokyo.ac.jp/collection/degitalgallary/ryukyu/item/10092")</f>
        <v/>
      </c>
    </row>
    <row r="94">
      <c r="A94" t="inlineStr">
        <is>
          <t>10093</t>
        </is>
      </c>
      <c r="B94" t="inlineStr">
        <is>
          <t>いつとむ崎</t>
        </is>
      </c>
      <c r="C94" t="inlineStr">
        <is>
          <t>崎</t>
        </is>
      </c>
      <c r="D94" t="inlineStr">
        <is>
          <t>28.434327</t>
        </is>
      </c>
      <c r="E94" t="inlineStr">
        <is>
          <t>129.646472</t>
        </is>
      </c>
      <c r="F94" t="inlineStr">
        <is>
          <t>正保琉球国絵図写</t>
        </is>
      </c>
      <c r="G94" t="inlineStr"/>
      <c r="H94" t="inlineStr"/>
      <c r="I94" t="inlineStr">
        <is>
          <t>19</t>
        </is>
      </c>
      <c r="J94" t="inlineStr"/>
      <c r="K94" t="inlineStr">
        <is>
          <t>鹿児島県奄美市笠利町大字喜瀬</t>
        </is>
      </c>
      <c r="L94" s="1">
        <f>HYPERLINK("https://www.hi.u-tokyo.ac.jp/collection/degitalgallary/ryukyu/item/10093", "https://www.hi.u-tokyo.ac.jp/collection/degitalgallary/ryukyu/item/10093")</f>
        <v/>
      </c>
    </row>
    <row r="95">
      <c r="A95" t="inlineStr">
        <is>
          <t>10094</t>
        </is>
      </c>
      <c r="B95" t="inlineStr">
        <is>
          <t>ひんなふ崎</t>
        </is>
      </c>
      <c r="C95" t="inlineStr">
        <is>
          <t>崎</t>
        </is>
      </c>
      <c r="D95" t="inlineStr">
        <is>
          <t>28.468028</t>
        </is>
      </c>
      <c r="E95" t="inlineStr">
        <is>
          <t>129.648093</t>
        </is>
      </c>
      <c r="F95" t="inlineStr">
        <is>
          <t>正保琉球国絵図写</t>
        </is>
      </c>
      <c r="G95" t="inlineStr"/>
      <c r="H95" t="inlineStr"/>
      <c r="I95" t="inlineStr">
        <is>
          <t>20</t>
        </is>
      </c>
      <c r="J95" t="inlineStr"/>
      <c r="K95" t="inlineStr">
        <is>
          <t>鹿児島県奄美市笠利町大字喜瀬</t>
        </is>
      </c>
      <c r="L95" s="1">
        <f>HYPERLINK("https://www.hi.u-tokyo.ac.jp/collection/degitalgallary/ryukyu/item/10094", "https://www.hi.u-tokyo.ac.jp/collection/degitalgallary/ryukyu/item/10094")</f>
        <v/>
      </c>
    </row>
    <row r="96">
      <c r="A96" t="inlineStr">
        <is>
          <t>10095</t>
        </is>
      </c>
      <c r="B96" t="inlineStr">
        <is>
          <t>立神</t>
        </is>
      </c>
      <c r="C96" t="inlineStr">
        <is>
          <t>その他</t>
        </is>
      </c>
      <c r="D96" t="inlineStr">
        <is>
          <t>28.4718481</t>
        </is>
      </c>
      <c r="E96" t="inlineStr">
        <is>
          <t>129.6493983</t>
        </is>
      </c>
      <c r="F96" t="inlineStr">
        <is>
          <t>正保琉球国絵図写</t>
        </is>
      </c>
      <c r="G96" t="inlineStr"/>
      <c r="H96" t="inlineStr"/>
      <c r="I96" t="inlineStr">
        <is>
          <t>21</t>
        </is>
      </c>
      <c r="J96" t="inlineStr"/>
      <c r="K96" t="inlineStr">
        <is>
          <t>鹿児島県奄美市笠利町大字喜瀬</t>
        </is>
      </c>
      <c r="L96" s="1">
        <f>HYPERLINK("https://www.hi.u-tokyo.ac.jp/collection/degitalgallary/ryukyu/item/10095", "https://www.hi.u-tokyo.ac.jp/collection/degitalgallary/ryukyu/item/10095")</f>
        <v/>
      </c>
    </row>
    <row r="97">
      <c r="A97" t="inlineStr">
        <is>
          <t>10096</t>
        </is>
      </c>
      <c r="B97" t="inlineStr">
        <is>
          <t>つしろ崎</t>
        </is>
      </c>
      <c r="C97" t="inlineStr">
        <is>
          <t>崎</t>
        </is>
      </c>
      <c r="D97" t="inlineStr">
        <is>
          <t>28.4417395</t>
        </is>
      </c>
      <c r="E97" t="inlineStr">
        <is>
          <t>129.6675086</t>
        </is>
      </c>
      <c r="F97" t="inlineStr">
        <is>
          <t>正保琉球国絵図写</t>
        </is>
      </c>
      <c r="G97" t="inlineStr"/>
      <c r="H97" t="inlineStr"/>
      <c r="I97" t="inlineStr">
        <is>
          <t>22</t>
        </is>
      </c>
      <c r="J97" t="inlineStr"/>
      <c r="K97" t="inlineStr">
        <is>
          <t>鹿児島県奄美市笠利町大字手花部</t>
        </is>
      </c>
      <c r="L97" s="1">
        <f>HYPERLINK("https://www.hi.u-tokyo.ac.jp/collection/degitalgallary/ryukyu/item/10096", "https://www.hi.u-tokyo.ac.jp/collection/degitalgallary/ryukyu/item/10096")</f>
        <v/>
      </c>
    </row>
    <row r="98">
      <c r="A98" t="inlineStr">
        <is>
          <t>10097</t>
        </is>
      </c>
      <c r="B98" t="inlineStr">
        <is>
          <t>あかきな村大道より笠利間切大道迄、壱里廿三町</t>
        </is>
      </c>
      <c r="C98" t="inlineStr">
        <is>
          <t>陸路</t>
        </is>
      </c>
      <c r="D98" t="inlineStr"/>
      <c r="E98" t="inlineStr"/>
      <c r="F98" t="inlineStr">
        <is>
          <t>正保琉球国絵図写</t>
        </is>
      </c>
      <c r="G98" t="inlineStr"/>
      <c r="H98" t="inlineStr"/>
      <c r="I98" t="inlineStr">
        <is>
          <t>23</t>
        </is>
      </c>
      <c r="J98" t="inlineStr"/>
      <c r="K98" t="inlineStr"/>
      <c r="L98" s="1">
        <f>HYPERLINK("https://www.hi.u-tokyo.ac.jp/collection/degitalgallary/ryukyu/item/10097", "https://www.hi.u-tokyo.ac.jp/collection/degitalgallary/ryukyu/item/10097")</f>
        <v/>
      </c>
    </row>
    <row r="99">
      <c r="A99" t="inlineStr">
        <is>
          <t>10098</t>
        </is>
      </c>
      <c r="B99" t="inlineStr">
        <is>
          <t>高嶽</t>
        </is>
      </c>
      <c r="C99" t="inlineStr">
        <is>
          <t>山</t>
        </is>
      </c>
      <c r="D99" t="inlineStr">
        <is>
          <t>28.471358</t>
        </is>
      </c>
      <c r="E99" t="inlineStr">
        <is>
          <t>129.685412</t>
        </is>
      </c>
      <c r="F99" t="inlineStr">
        <is>
          <t>正保琉球国絵図写</t>
        </is>
      </c>
      <c r="G99" t="inlineStr"/>
      <c r="H99" t="inlineStr"/>
      <c r="I99" t="inlineStr">
        <is>
          <t>24</t>
        </is>
      </c>
      <c r="J99" t="inlineStr"/>
      <c r="K99" t="inlineStr">
        <is>
          <t>鹿児島県奄美市笠利町大字川上</t>
        </is>
      </c>
      <c r="L99" s="1">
        <f>HYPERLINK("https://www.hi.u-tokyo.ac.jp/collection/degitalgallary/ryukyu/item/10098", "https://www.hi.u-tokyo.ac.jp/collection/degitalgallary/ryukyu/item/10098")</f>
        <v/>
      </c>
    </row>
    <row r="100">
      <c r="A100" t="inlineStr">
        <is>
          <t>10099</t>
        </is>
      </c>
      <c r="B100" t="inlineStr">
        <is>
          <t>おかみ山</t>
        </is>
      </c>
      <c r="C100" t="inlineStr">
        <is>
          <t>山</t>
        </is>
      </c>
      <c r="D100" t="inlineStr"/>
      <c r="E100" t="inlineStr"/>
      <c r="F100" t="inlineStr">
        <is>
          <t>正保琉球国絵図写</t>
        </is>
      </c>
      <c r="G100" t="inlineStr"/>
      <c r="H100" t="inlineStr"/>
      <c r="I100" t="inlineStr">
        <is>
          <t>25</t>
        </is>
      </c>
      <c r="J100" t="inlineStr"/>
      <c r="K100" t="inlineStr"/>
      <c r="L100" s="1">
        <f>HYPERLINK("https://www.hi.u-tokyo.ac.jp/collection/degitalgallary/ryukyu/item/10099", "https://www.hi.u-tokyo.ac.jp/collection/degitalgallary/ryukyu/item/10099")</f>
        <v/>
      </c>
    </row>
    <row r="101">
      <c r="A101" t="inlineStr">
        <is>
          <t>10100</t>
        </is>
      </c>
      <c r="B101" t="inlineStr">
        <is>
          <t>かまふ崎</t>
        </is>
      </c>
      <c r="C101" t="inlineStr">
        <is>
          <t>崎</t>
        </is>
      </c>
      <c r="D101" t="inlineStr">
        <is>
          <t>28.499335</t>
        </is>
      </c>
      <c r="E101" t="inlineStr">
        <is>
          <t>129.649966</t>
        </is>
      </c>
      <c r="F101" t="inlineStr">
        <is>
          <t>正保琉球国絵図写</t>
        </is>
      </c>
      <c r="G101" t="inlineStr"/>
      <c r="H101" t="inlineStr"/>
      <c r="I101" t="inlineStr">
        <is>
          <t>26</t>
        </is>
      </c>
      <c r="J101" t="inlineStr"/>
      <c r="K101" t="inlineStr">
        <is>
          <t>鹿児島県奄美市笠利町大字屋仁</t>
        </is>
      </c>
      <c r="L101" s="1">
        <f>HYPERLINK("https://www.hi.u-tokyo.ac.jp/collection/degitalgallary/ryukyu/item/10100", "https://www.hi.u-tokyo.ac.jp/collection/degitalgallary/ryukyu/item/10100")</f>
        <v/>
      </c>
    </row>
    <row r="102">
      <c r="A102" t="inlineStr">
        <is>
          <t>10101</t>
        </is>
      </c>
      <c r="B102" t="inlineStr">
        <is>
          <t>大船出入なし</t>
        </is>
      </c>
      <c r="C102" t="inlineStr">
        <is>
          <t>港湾</t>
        </is>
      </c>
      <c r="D102" t="inlineStr"/>
      <c r="E102" t="inlineStr"/>
      <c r="F102" t="inlineStr">
        <is>
          <t>正保琉球国絵図写</t>
        </is>
      </c>
      <c r="G102" t="inlineStr"/>
      <c r="H102" t="inlineStr"/>
      <c r="I102" t="inlineStr">
        <is>
          <t>27</t>
        </is>
      </c>
      <c r="J102" t="inlineStr"/>
      <c r="K102" t="inlineStr"/>
      <c r="L102" s="1">
        <f>HYPERLINK("https://www.hi.u-tokyo.ac.jp/collection/degitalgallary/ryukyu/item/10101", "https://www.hi.u-tokyo.ac.jp/collection/degitalgallary/ryukyu/item/10101")</f>
        <v/>
      </c>
    </row>
    <row r="103">
      <c r="A103" t="inlineStr">
        <is>
          <t>10102</t>
        </is>
      </c>
      <c r="B103" t="inlineStr">
        <is>
          <t>かさり崎</t>
        </is>
      </c>
      <c r="C103" t="inlineStr">
        <is>
          <t>崎</t>
        </is>
      </c>
      <c r="D103" t="inlineStr">
        <is>
          <t>28.5294998</t>
        </is>
      </c>
      <c r="E103" t="inlineStr">
        <is>
          <t>129.6892235</t>
        </is>
      </c>
      <c r="F103" t="inlineStr">
        <is>
          <t>正保琉球国絵図写</t>
        </is>
      </c>
      <c r="G103" t="inlineStr"/>
      <c r="H103" t="inlineStr"/>
      <c r="I103" t="inlineStr">
        <is>
          <t>28</t>
        </is>
      </c>
      <c r="J103" t="inlineStr"/>
      <c r="K103" t="inlineStr">
        <is>
          <t>鹿児島県奄美市笠利町大字用</t>
        </is>
      </c>
      <c r="L103" s="1">
        <f>HYPERLINK("https://www.hi.u-tokyo.ac.jp/collection/degitalgallary/ryukyu/item/10102", "https://www.hi.u-tokyo.ac.jp/collection/degitalgallary/ryukyu/item/10102")</f>
        <v/>
      </c>
    </row>
    <row r="104">
      <c r="A104" t="inlineStr">
        <is>
          <t>10103</t>
        </is>
      </c>
      <c r="B104" t="inlineStr">
        <is>
          <t>たいもら</t>
        </is>
      </c>
      <c r="C104" t="inlineStr">
        <is>
          <t>干瀬</t>
        </is>
      </c>
      <c r="D104" t="inlineStr">
        <is>
          <t>28.758597</t>
        </is>
      </c>
      <c r="E104" t="inlineStr">
        <is>
          <t>129.778270</t>
        </is>
      </c>
      <c r="F104" t="inlineStr">
        <is>
          <t>正保琉球国絵図写</t>
        </is>
      </c>
      <c r="G104" t="inlineStr"/>
      <c r="H104" t="inlineStr"/>
      <c r="I104" t="inlineStr">
        <is>
          <t>29</t>
        </is>
      </c>
      <c r="J104" t="inlineStr"/>
      <c r="K104" t="inlineStr"/>
      <c r="L104" s="1">
        <f>HYPERLINK("https://www.hi.u-tokyo.ac.jp/collection/degitalgallary/ryukyu/item/10103", "https://www.hi.u-tokyo.ac.jp/collection/degitalgallary/ryukyu/item/10103")</f>
        <v/>
      </c>
    </row>
    <row r="105">
      <c r="A105" t="inlineStr">
        <is>
          <t>10104</t>
        </is>
      </c>
      <c r="B105" t="inlineStr">
        <is>
          <t>とのはら</t>
        </is>
      </c>
      <c r="C105" t="inlineStr">
        <is>
          <t>干瀬</t>
        </is>
      </c>
      <c r="D105" t="inlineStr">
        <is>
          <t>28.546604</t>
        </is>
      </c>
      <c r="E105" t="inlineStr">
        <is>
          <t>129.721584</t>
        </is>
      </c>
      <c r="F105" t="inlineStr">
        <is>
          <t>正保琉球国絵図写</t>
        </is>
      </c>
      <c r="G105" t="inlineStr"/>
      <c r="H105" t="inlineStr"/>
      <c r="I105" t="inlineStr">
        <is>
          <t>30</t>
        </is>
      </c>
      <c r="J105" t="inlineStr"/>
      <c r="K105" t="inlineStr"/>
      <c r="L105" s="1">
        <f>HYPERLINK("https://www.hi.u-tokyo.ac.jp/collection/degitalgallary/ryukyu/item/10104", "https://www.hi.u-tokyo.ac.jp/collection/degitalgallary/ryukyu/item/10104")</f>
        <v/>
      </c>
    </row>
    <row r="106">
      <c r="A106" t="inlineStr">
        <is>
          <t>10105</t>
        </is>
      </c>
      <c r="B106" t="inlineStr">
        <is>
          <t>平瀬</t>
        </is>
      </c>
      <c r="C106" t="inlineStr">
        <is>
          <t>干瀬</t>
        </is>
      </c>
      <c r="D106" t="inlineStr">
        <is>
          <t>28.531524</t>
        </is>
      </c>
      <c r="E106" t="inlineStr">
        <is>
          <t>129.719353</t>
        </is>
      </c>
      <c r="F106" t="inlineStr">
        <is>
          <t>正保琉球国絵図写</t>
        </is>
      </c>
      <c r="G106" t="inlineStr"/>
      <c r="H106" t="inlineStr"/>
      <c r="I106" t="inlineStr">
        <is>
          <t>31</t>
        </is>
      </c>
      <c r="J106" t="inlineStr"/>
      <c r="K106" t="inlineStr"/>
      <c r="L106" s="1">
        <f>HYPERLINK("https://www.hi.u-tokyo.ac.jp/collection/degitalgallary/ryukyu/item/10105", "https://www.hi.u-tokyo.ac.jp/collection/degitalgallary/ryukyu/item/10105")</f>
        <v/>
      </c>
    </row>
    <row r="107">
      <c r="A107" t="inlineStr">
        <is>
          <t>10106</t>
        </is>
      </c>
      <c r="B107" t="inlineStr">
        <is>
          <t>つい瀬</t>
        </is>
      </c>
      <c r="C107" t="inlineStr">
        <is>
          <t>干瀬</t>
        </is>
      </c>
      <c r="D107" t="inlineStr">
        <is>
          <t>28.507322</t>
        </is>
      </c>
      <c r="E107" t="inlineStr">
        <is>
          <t>129.691975</t>
        </is>
      </c>
      <c r="F107" t="inlineStr">
        <is>
          <t>正保琉球国絵図写</t>
        </is>
      </c>
      <c r="G107" t="inlineStr"/>
      <c r="H107" t="inlineStr"/>
      <c r="I107" t="inlineStr">
        <is>
          <t>32</t>
        </is>
      </c>
      <c r="J107" t="inlineStr"/>
      <c r="K107" t="inlineStr">
        <is>
          <t>鹿児島県奄美市笠利町大字用</t>
        </is>
      </c>
      <c r="L107" s="1">
        <f>HYPERLINK("https://www.hi.u-tokyo.ac.jp/collection/degitalgallary/ryukyu/item/10106", "https://www.hi.u-tokyo.ac.jp/collection/degitalgallary/ryukyu/item/10106")</f>
        <v/>
      </c>
    </row>
    <row r="108">
      <c r="A108" t="inlineStr">
        <is>
          <t>10107</t>
        </is>
      </c>
      <c r="B108" t="inlineStr">
        <is>
          <t>大瀬</t>
        </is>
      </c>
      <c r="C108" t="inlineStr">
        <is>
          <t>干瀬</t>
        </is>
      </c>
      <c r="D108" t="inlineStr"/>
      <c r="E108" t="inlineStr"/>
      <c r="F108" t="inlineStr">
        <is>
          <t>正保琉球国絵図写</t>
        </is>
      </c>
      <c r="G108" t="inlineStr"/>
      <c r="H108" t="inlineStr"/>
      <c r="I108" t="inlineStr">
        <is>
          <t>33</t>
        </is>
      </c>
      <c r="J108" t="inlineStr"/>
      <c r="K108" t="inlineStr"/>
      <c r="L108" s="1">
        <f>HYPERLINK("https://www.hi.u-tokyo.ac.jp/collection/degitalgallary/ryukyu/item/10107", "https://www.hi.u-tokyo.ac.jp/collection/degitalgallary/ryukyu/item/10107")</f>
        <v/>
      </c>
    </row>
    <row r="109">
      <c r="A109" t="inlineStr">
        <is>
          <t>10108</t>
        </is>
      </c>
      <c r="B109" t="inlineStr">
        <is>
          <t>もとぐの崎</t>
        </is>
      </c>
      <c r="C109" t="inlineStr">
        <is>
          <t>崎</t>
        </is>
      </c>
      <c r="D109" t="inlineStr">
        <is>
          <t>28.473019</t>
        </is>
      </c>
      <c r="E109" t="inlineStr">
        <is>
          <t>129.7164337</t>
        </is>
      </c>
      <c r="F109" t="inlineStr">
        <is>
          <t>正保琉球国絵図写</t>
        </is>
      </c>
      <c r="G109" t="inlineStr"/>
      <c r="H109" t="inlineStr"/>
      <c r="I109" t="inlineStr">
        <is>
          <t>34</t>
        </is>
      </c>
      <c r="J109" t="inlineStr"/>
      <c r="K109" t="inlineStr">
        <is>
          <t>鹿児島県奄美市笠利町大字須野</t>
        </is>
      </c>
      <c r="L109" s="1">
        <f>HYPERLINK("https://www.hi.u-tokyo.ac.jp/collection/degitalgallary/ryukyu/item/10108", "https://www.hi.u-tokyo.ac.jp/collection/degitalgallary/ryukyu/item/10108")</f>
        <v/>
      </c>
    </row>
    <row r="110">
      <c r="A110" t="inlineStr">
        <is>
          <t>10109</t>
        </is>
      </c>
      <c r="B110" t="inlineStr">
        <is>
          <t>丸瀬</t>
        </is>
      </c>
      <c r="C110" t="inlineStr">
        <is>
          <t>干瀬</t>
        </is>
      </c>
      <c r="D110" t="inlineStr">
        <is>
          <t>28.4639364</t>
        </is>
      </c>
      <c r="E110" t="inlineStr">
        <is>
          <t>129.7253306</t>
        </is>
      </c>
      <c r="F110" t="inlineStr">
        <is>
          <t>正保琉球国絵図写</t>
        </is>
      </c>
      <c r="G110" t="inlineStr"/>
      <c r="H110" t="inlineStr"/>
      <c r="I110" t="inlineStr">
        <is>
          <t>35</t>
        </is>
      </c>
      <c r="J110" t="inlineStr"/>
      <c r="K110" t="inlineStr">
        <is>
          <t>鹿児島県奄美市笠利町大字宇宿</t>
        </is>
      </c>
      <c r="L110" s="1">
        <f>HYPERLINK("https://www.hi.u-tokyo.ac.jp/collection/degitalgallary/ryukyu/item/10109", "https://www.hi.u-tokyo.ac.jp/collection/degitalgallary/ryukyu/item/10109")</f>
        <v/>
      </c>
    </row>
    <row r="111">
      <c r="A111" t="inlineStr">
        <is>
          <t>10110</t>
        </is>
      </c>
      <c r="B111" t="inlineStr">
        <is>
          <t>あたこ崎</t>
        </is>
      </c>
      <c r="C111" t="inlineStr">
        <is>
          <t>崎</t>
        </is>
      </c>
      <c r="D111" t="inlineStr"/>
      <c r="E111" t="inlineStr"/>
      <c r="F111" t="inlineStr">
        <is>
          <t>正保琉球国絵図写</t>
        </is>
      </c>
      <c r="G111" t="inlineStr"/>
      <c r="H111" t="inlineStr"/>
      <c r="I111" t="inlineStr">
        <is>
          <t>36</t>
        </is>
      </c>
      <c r="J111" t="inlineStr"/>
      <c r="K111" t="inlineStr"/>
      <c r="L111" s="1">
        <f>HYPERLINK("https://www.hi.u-tokyo.ac.jp/collection/degitalgallary/ryukyu/item/10110", "https://www.hi.u-tokyo.ac.jp/collection/degitalgallary/ryukyu/item/10110")</f>
        <v/>
      </c>
    </row>
    <row r="112">
      <c r="A112" t="inlineStr">
        <is>
          <t>10111</t>
        </is>
      </c>
      <c r="B112" t="inlineStr">
        <is>
          <t>すざん
地より三十町沖ニ有、満汐ニハ不見得</t>
        </is>
      </c>
      <c r="C112" t="inlineStr">
        <is>
          <t>干瀬</t>
        </is>
      </c>
      <c r="D112" t="inlineStr"/>
      <c r="E112" t="inlineStr"/>
      <c r="F112" t="inlineStr">
        <is>
          <t>正保琉球国絵図写</t>
        </is>
      </c>
      <c r="G112" t="inlineStr"/>
      <c r="H112" t="inlineStr"/>
      <c r="I112" t="inlineStr">
        <is>
          <t>37・38</t>
        </is>
      </c>
      <c r="J112" t="inlineStr"/>
      <c r="K112" t="inlineStr"/>
      <c r="L112" s="1">
        <f>HYPERLINK("https://www.hi.u-tokyo.ac.jp/collection/degitalgallary/ryukyu/item/10111", "https://www.hi.u-tokyo.ac.jp/collection/degitalgallary/ryukyu/item/10111")</f>
        <v/>
      </c>
    </row>
    <row r="113">
      <c r="A113" t="inlineStr">
        <is>
          <t>10112</t>
        </is>
      </c>
      <c r="B113" t="inlineStr">
        <is>
          <t>くろ瀬</t>
        </is>
      </c>
      <c r="C113" t="inlineStr">
        <is>
          <t>干瀬</t>
        </is>
      </c>
      <c r="D113" t="inlineStr"/>
      <c r="E113" t="inlineStr"/>
      <c r="F113" t="inlineStr">
        <is>
          <t>正保琉球国絵図写</t>
        </is>
      </c>
      <c r="G113" t="inlineStr"/>
      <c r="H113" t="inlineStr"/>
      <c r="I113" t="inlineStr">
        <is>
          <t>39</t>
        </is>
      </c>
      <c r="J113" t="inlineStr"/>
      <c r="K113" t="inlineStr"/>
      <c r="L113" s="1">
        <f>HYPERLINK("https://www.hi.u-tokyo.ac.jp/collection/degitalgallary/ryukyu/item/10112", "https://www.hi.u-tokyo.ac.jp/collection/degitalgallary/ryukyu/item/10112")</f>
        <v/>
      </c>
    </row>
    <row r="114">
      <c r="A114" t="inlineStr">
        <is>
          <t>10113</t>
        </is>
      </c>
      <c r="B114" t="inlineStr">
        <is>
          <t>わの大瀬</t>
        </is>
      </c>
      <c r="C114" t="inlineStr">
        <is>
          <t>干瀬</t>
        </is>
      </c>
      <c r="D114" t="inlineStr">
        <is>
          <t>28.427452</t>
        </is>
      </c>
      <c r="E114" t="inlineStr">
        <is>
          <t>129.706495</t>
        </is>
      </c>
      <c r="F114" t="inlineStr">
        <is>
          <t>正保琉球国絵図写</t>
        </is>
      </c>
      <c r="G114" t="inlineStr"/>
      <c r="H114" t="inlineStr"/>
      <c r="I114" t="inlineStr">
        <is>
          <t>40</t>
        </is>
      </c>
      <c r="J114" t="inlineStr"/>
      <c r="K114" t="inlineStr">
        <is>
          <t>鹿児島県奄美市笠利町大字和野</t>
        </is>
      </c>
      <c r="L114" s="1">
        <f>HYPERLINK("https://www.hi.u-tokyo.ac.jp/collection/degitalgallary/ryukyu/item/10113", "https://www.hi.u-tokyo.ac.jp/collection/degitalgallary/ryukyu/item/10113")</f>
        <v/>
      </c>
    </row>
    <row r="115">
      <c r="A115" t="inlineStr">
        <is>
          <t>10114</t>
        </is>
      </c>
      <c r="B115" t="inlineStr">
        <is>
          <t>せつたよりふかいか浦湊迄、海上八里</t>
        </is>
      </c>
      <c r="C115" t="inlineStr">
        <is>
          <t>航路</t>
        </is>
      </c>
      <c r="D115" t="inlineStr"/>
      <c r="E115" t="inlineStr"/>
      <c r="F115" t="inlineStr">
        <is>
          <t>正保琉球国絵図写</t>
        </is>
      </c>
      <c r="G115" t="inlineStr"/>
      <c r="H115" t="inlineStr"/>
      <c r="I115" t="inlineStr">
        <is>
          <t>41</t>
        </is>
      </c>
      <c r="J115" t="inlineStr"/>
      <c r="K115" t="inlineStr"/>
      <c r="L115" s="1">
        <f>HYPERLINK("https://www.hi.u-tokyo.ac.jp/collection/degitalgallary/ryukyu/item/10114", "https://www.hi.u-tokyo.ac.jp/collection/degitalgallary/ryukyu/item/10114")</f>
        <v/>
      </c>
    </row>
    <row r="116">
      <c r="A116" t="inlineStr">
        <is>
          <t>10115</t>
        </is>
      </c>
      <c r="B116" t="inlineStr">
        <is>
          <t>あまみ嶽</t>
        </is>
      </c>
      <c r="C116" t="inlineStr">
        <is>
          <t>山</t>
        </is>
      </c>
      <c r="D116" t="inlineStr">
        <is>
          <t>28.432159</t>
        </is>
      </c>
      <c r="E116" t="inlineStr">
        <is>
          <t>129.6875555</t>
        </is>
      </c>
      <c r="F116" t="inlineStr">
        <is>
          <t>正保琉球国絵図写</t>
        </is>
      </c>
      <c r="G116" t="inlineStr"/>
      <c r="H116" t="inlineStr"/>
      <c r="I116" t="inlineStr">
        <is>
          <t>42</t>
        </is>
      </c>
      <c r="J116" t="inlineStr"/>
      <c r="K116" t="inlineStr">
        <is>
          <t>鹿児島県奄美市笠利町大字平</t>
        </is>
      </c>
      <c r="L116" s="1">
        <f>HYPERLINK("https://www.hi.u-tokyo.ac.jp/collection/degitalgallary/ryukyu/item/10115", "https://www.hi.u-tokyo.ac.jp/collection/degitalgallary/ryukyu/item/10115")</f>
        <v/>
      </c>
    </row>
    <row r="117">
      <c r="A117" t="inlineStr">
        <is>
          <t>10116</t>
        </is>
      </c>
      <c r="B117" t="inlineStr">
        <is>
          <t>七ツ嶽</t>
        </is>
      </c>
      <c r="C117" t="inlineStr">
        <is>
          <t>山</t>
        </is>
      </c>
      <c r="D117" t="inlineStr"/>
      <c r="E117" t="inlineStr"/>
      <c r="F117" t="inlineStr">
        <is>
          <t>正保琉球国絵図写</t>
        </is>
      </c>
      <c r="G117" t="inlineStr"/>
      <c r="H117" t="inlineStr"/>
      <c r="I117" t="inlineStr">
        <is>
          <t>43</t>
        </is>
      </c>
      <c r="J117" t="inlineStr"/>
      <c r="K117" t="inlineStr"/>
      <c r="L117" s="1">
        <f>HYPERLINK("https://www.hi.u-tokyo.ac.jp/collection/degitalgallary/ryukyu/item/10116", "https://www.hi.u-tokyo.ac.jp/collection/degitalgallary/ryukyu/item/10116")</f>
        <v/>
      </c>
    </row>
    <row r="118">
      <c r="A118" t="inlineStr">
        <is>
          <t>10117</t>
        </is>
      </c>
      <c r="B118" t="inlineStr">
        <is>
          <t>赤セミの浜</t>
        </is>
      </c>
      <c r="C118" t="inlineStr">
        <is>
          <t>その他</t>
        </is>
      </c>
      <c r="D118" t="inlineStr"/>
      <c r="E118" t="inlineStr"/>
      <c r="F118" t="inlineStr">
        <is>
          <t>正保琉球国絵図写</t>
        </is>
      </c>
      <c r="G118" t="inlineStr"/>
      <c r="H118" t="inlineStr"/>
      <c r="I118" t="inlineStr">
        <is>
          <t>44</t>
        </is>
      </c>
      <c r="J118" t="inlineStr"/>
      <c r="K118" t="inlineStr"/>
      <c r="L118" s="1">
        <f>HYPERLINK("https://www.hi.u-tokyo.ac.jp/collection/degitalgallary/ryukyu/item/10117", "https://www.hi.u-tokyo.ac.jp/collection/degitalgallary/ryukyu/item/10117")</f>
        <v/>
      </c>
    </row>
    <row r="119">
      <c r="A119" t="inlineStr">
        <is>
          <t>10118</t>
        </is>
      </c>
      <c r="B119" t="inlineStr">
        <is>
          <t>此うら水底惣岩ニテ、船繋り不自由</t>
        </is>
      </c>
      <c r="C119" t="inlineStr">
        <is>
          <t>港湾</t>
        </is>
      </c>
      <c r="D119" t="inlineStr"/>
      <c r="E119" t="inlineStr"/>
      <c r="F119" t="inlineStr">
        <is>
          <t>正保琉球国絵図写</t>
        </is>
      </c>
      <c r="G119" t="inlineStr"/>
      <c r="H119" t="inlineStr"/>
      <c r="I119" t="inlineStr">
        <is>
          <t>45</t>
        </is>
      </c>
      <c r="J119" t="inlineStr"/>
      <c r="K119" t="inlineStr"/>
      <c r="L119" s="1">
        <f>HYPERLINK("https://www.hi.u-tokyo.ac.jp/collection/degitalgallary/ryukyu/item/10118", "https://www.hi.u-tokyo.ac.jp/collection/degitalgallary/ryukyu/item/10118")</f>
        <v/>
      </c>
    </row>
    <row r="120">
      <c r="A120" t="inlineStr">
        <is>
          <t>10119</t>
        </is>
      </c>
      <c r="B120" t="inlineStr">
        <is>
          <t>満崎</t>
        </is>
      </c>
      <c r="C120" t="inlineStr">
        <is>
          <t>崎</t>
        </is>
      </c>
      <c r="D120" t="inlineStr"/>
      <c r="E120" t="inlineStr"/>
      <c r="F120" t="inlineStr">
        <is>
          <t>正保琉球国絵図写</t>
        </is>
      </c>
      <c r="G120" t="inlineStr"/>
      <c r="H120" t="inlineStr"/>
      <c r="I120" t="inlineStr">
        <is>
          <t>46</t>
        </is>
      </c>
      <c r="J120" t="inlineStr"/>
      <c r="K120" t="inlineStr"/>
      <c r="L120" s="1">
        <f>HYPERLINK("https://www.hi.u-tokyo.ac.jp/collection/degitalgallary/ryukyu/item/10119", "https://www.hi.u-tokyo.ac.jp/collection/degitalgallary/ryukyu/item/10119")</f>
        <v/>
      </c>
    </row>
    <row r="121">
      <c r="A121" t="inlineStr">
        <is>
          <t>10120</t>
        </is>
      </c>
      <c r="B121" t="inlineStr">
        <is>
          <t>せつたより鬼界嶋わん泊迄、海上七里辰之方ニ当ル</t>
        </is>
      </c>
      <c r="C121" t="inlineStr">
        <is>
          <t>航路</t>
        </is>
      </c>
      <c r="D121" t="inlineStr"/>
      <c r="E121" t="inlineStr"/>
      <c r="F121" t="inlineStr">
        <is>
          <t>正保琉球国絵図写</t>
        </is>
      </c>
      <c r="G121" t="inlineStr"/>
      <c r="H121" t="inlineStr"/>
      <c r="I121" t="inlineStr">
        <is>
          <t>47</t>
        </is>
      </c>
      <c r="J121" t="inlineStr"/>
      <c r="K121" t="inlineStr"/>
      <c r="L121" s="1">
        <f>HYPERLINK("https://www.hi.u-tokyo.ac.jp/collection/degitalgallary/ryukyu/item/10120", "https://www.hi.u-tokyo.ac.jp/collection/degitalgallary/ryukyu/item/10120")</f>
        <v/>
      </c>
    </row>
    <row r="122">
      <c r="A122" t="inlineStr">
        <is>
          <t>10121</t>
        </is>
      </c>
      <c r="B122" t="inlineStr">
        <is>
          <t>おかみ山</t>
        </is>
      </c>
      <c r="C122" t="inlineStr">
        <is>
          <t>山</t>
        </is>
      </c>
      <c r="D122" t="inlineStr"/>
      <c r="E122" t="inlineStr"/>
      <c r="F122" t="inlineStr">
        <is>
          <t>正保琉球国絵図写</t>
        </is>
      </c>
      <c r="G122" t="inlineStr"/>
      <c r="H122" t="inlineStr"/>
      <c r="I122" t="inlineStr">
        <is>
          <t>48</t>
        </is>
      </c>
      <c r="J122" t="inlineStr"/>
      <c r="K122" t="inlineStr"/>
      <c r="L122" s="1">
        <f>HYPERLINK("https://www.hi.u-tokyo.ac.jp/collection/degitalgallary/ryukyu/item/10121", "https://www.hi.u-tokyo.ac.jp/collection/degitalgallary/ryukyu/item/10121")</f>
        <v/>
      </c>
    </row>
    <row r="123">
      <c r="A123" t="inlineStr">
        <is>
          <t>10122</t>
        </is>
      </c>
      <c r="B123" t="inlineStr">
        <is>
          <t>かめ山の崎</t>
        </is>
      </c>
      <c r="C123" t="inlineStr">
        <is>
          <t>崎</t>
        </is>
      </c>
      <c r="D123" t="inlineStr">
        <is>
          <t>28.3993024</t>
        </is>
      </c>
      <c r="E123" t="inlineStr">
        <is>
          <t>129.6637016</t>
        </is>
      </c>
      <c r="F123" t="inlineStr">
        <is>
          <t>正保琉球国絵図写</t>
        </is>
      </c>
      <c r="G123" t="inlineStr"/>
      <c r="H123" t="inlineStr"/>
      <c r="I123" t="inlineStr">
        <is>
          <t>49</t>
        </is>
      </c>
      <c r="J123" t="inlineStr"/>
      <c r="K123" t="inlineStr">
        <is>
          <t>鹿児島県奄美市笠利町大字用安</t>
        </is>
      </c>
      <c r="L123" s="1">
        <f>HYPERLINK("https://www.hi.u-tokyo.ac.jp/collection/degitalgallary/ryukyu/item/10122", "https://www.hi.u-tokyo.ac.jp/collection/degitalgallary/ryukyu/item/10122")</f>
        <v/>
      </c>
    </row>
    <row r="124">
      <c r="A124" t="inlineStr">
        <is>
          <t>10123</t>
        </is>
      </c>
      <c r="B124" t="inlineStr">
        <is>
          <t>くろ崎</t>
        </is>
      </c>
      <c r="C124" t="inlineStr">
        <is>
          <t>崎</t>
        </is>
      </c>
      <c r="D124" t="inlineStr"/>
      <c r="E124" t="inlineStr"/>
      <c r="F124" t="inlineStr">
        <is>
          <t>正保琉球国絵図写</t>
        </is>
      </c>
      <c r="G124" t="inlineStr"/>
      <c r="H124" t="inlineStr"/>
      <c r="I124" t="inlineStr">
        <is>
          <t>50</t>
        </is>
      </c>
      <c r="J124" t="inlineStr"/>
      <c r="K124" t="inlineStr"/>
      <c r="L124" s="1">
        <f>HYPERLINK("https://www.hi.u-tokyo.ac.jp/collection/degitalgallary/ryukyu/item/10123", "https://www.hi.u-tokyo.ac.jp/collection/degitalgallary/ryukyu/item/10123")</f>
        <v/>
      </c>
    </row>
    <row r="125">
      <c r="A125" t="inlineStr">
        <is>
          <t>10124</t>
        </is>
      </c>
      <c r="B125" t="inlineStr">
        <is>
          <t>白浜</t>
        </is>
      </c>
      <c r="C125" t="inlineStr">
        <is>
          <t>その他</t>
        </is>
      </c>
      <c r="D125" t="inlineStr"/>
      <c r="E125" t="inlineStr"/>
      <c r="F125" t="inlineStr">
        <is>
          <t>正保琉球国絵図写</t>
        </is>
      </c>
      <c r="G125" t="inlineStr"/>
      <c r="H125" t="inlineStr"/>
      <c r="I125" t="inlineStr">
        <is>
          <t>51</t>
        </is>
      </c>
      <c r="J125" t="inlineStr"/>
      <c r="K125" t="inlineStr"/>
      <c r="L125" s="1">
        <f>HYPERLINK("https://www.hi.u-tokyo.ac.jp/collection/degitalgallary/ryukyu/item/10124", "https://www.hi.u-tokyo.ac.jp/collection/degitalgallary/ryukyu/item/10124")</f>
        <v/>
      </c>
    </row>
    <row r="126">
      <c r="A126" t="inlineStr">
        <is>
          <t>10125</t>
        </is>
      </c>
      <c r="B126" t="inlineStr">
        <is>
          <t>立神</t>
        </is>
      </c>
      <c r="C126" t="inlineStr">
        <is>
          <t>その他</t>
        </is>
      </c>
      <c r="D126" t="inlineStr"/>
      <c r="E126" t="inlineStr"/>
      <c r="F126" t="inlineStr">
        <is>
          <t>正保琉球国絵図写</t>
        </is>
      </c>
      <c r="G126" t="inlineStr"/>
      <c r="H126" t="inlineStr"/>
      <c r="I126" t="inlineStr">
        <is>
          <t>52</t>
        </is>
      </c>
      <c r="J126" t="inlineStr"/>
      <c r="K126" t="inlineStr"/>
      <c r="L126" s="1">
        <f>HYPERLINK("https://www.hi.u-tokyo.ac.jp/collection/degitalgallary/ryukyu/item/10125", "https://www.hi.u-tokyo.ac.jp/collection/degitalgallary/ryukyu/item/10125")</f>
        <v/>
      </c>
    </row>
    <row r="127">
      <c r="A127" t="inlineStr">
        <is>
          <t>10126</t>
        </is>
      </c>
      <c r="B127" t="inlineStr">
        <is>
          <t>浜崎</t>
        </is>
      </c>
      <c r="C127" t="inlineStr">
        <is>
          <t>崎</t>
        </is>
      </c>
      <c r="D127" t="inlineStr"/>
      <c r="E127" t="inlineStr"/>
      <c r="F127" t="inlineStr">
        <is>
          <t>正保琉球国絵図写</t>
        </is>
      </c>
      <c r="G127" t="inlineStr"/>
      <c r="H127" t="inlineStr"/>
      <c r="I127" t="inlineStr">
        <is>
          <t>53</t>
        </is>
      </c>
      <c r="J127" t="inlineStr"/>
      <c r="K127" t="inlineStr"/>
      <c r="L127" s="1">
        <f>HYPERLINK("https://www.hi.u-tokyo.ac.jp/collection/degitalgallary/ryukyu/item/10126", "https://www.hi.u-tokyo.ac.jp/collection/degitalgallary/ryukyu/item/10126")</f>
        <v/>
      </c>
    </row>
    <row r="128">
      <c r="A128" t="inlineStr">
        <is>
          <t>10127</t>
        </is>
      </c>
      <c r="B128" t="inlineStr">
        <is>
          <t>鳥瀬</t>
        </is>
      </c>
      <c r="C128" t="inlineStr">
        <is>
          <t>干瀬</t>
        </is>
      </c>
      <c r="D128" t="inlineStr"/>
      <c r="E128" t="inlineStr"/>
      <c r="F128" t="inlineStr">
        <is>
          <t>正保琉球国絵図写</t>
        </is>
      </c>
      <c r="G128" t="inlineStr"/>
      <c r="H128" t="inlineStr"/>
      <c r="I128" t="inlineStr">
        <is>
          <t>54</t>
        </is>
      </c>
      <c r="J128" t="inlineStr"/>
      <c r="K128" t="inlineStr"/>
      <c r="L128" s="1">
        <f>HYPERLINK("https://www.hi.u-tokyo.ac.jp/collection/degitalgallary/ryukyu/item/10127", "https://www.hi.u-tokyo.ac.jp/collection/degitalgallary/ryukyu/item/10127")</f>
        <v/>
      </c>
    </row>
    <row r="129">
      <c r="A129" t="inlineStr">
        <is>
          <t>10128</t>
        </is>
      </c>
      <c r="B129" t="inlineStr">
        <is>
          <t>大くろ崎</t>
        </is>
      </c>
      <c r="C129" t="inlineStr">
        <is>
          <t>崎</t>
        </is>
      </c>
      <c r="D129" t="inlineStr">
        <is>
          <t>28.4774528</t>
        </is>
      </c>
      <c r="E129" t="inlineStr">
        <is>
          <t>129.6216667</t>
        </is>
      </c>
      <c r="F129" t="inlineStr">
        <is>
          <t>正保琉球国絵図写</t>
        </is>
      </c>
      <c r="G129" t="inlineStr"/>
      <c r="H129" t="inlineStr"/>
      <c r="I129" t="inlineStr">
        <is>
          <t>55</t>
        </is>
      </c>
      <c r="J129" t="inlineStr"/>
      <c r="K129" t="inlineStr">
        <is>
          <t>鹿児島県大島郡龍郷町安木屋場</t>
        </is>
      </c>
      <c r="L129" s="1">
        <f>HYPERLINK("https://www.hi.u-tokyo.ac.jp/collection/degitalgallary/ryukyu/item/10128", "https://www.hi.u-tokyo.ac.jp/collection/degitalgallary/ryukyu/item/10128")</f>
        <v/>
      </c>
    </row>
    <row r="130">
      <c r="A130" t="inlineStr">
        <is>
          <t>10129</t>
        </is>
      </c>
      <c r="B130" t="inlineStr">
        <is>
          <t>立神</t>
        </is>
      </c>
      <c r="C130" t="inlineStr">
        <is>
          <t>その他</t>
        </is>
      </c>
      <c r="D130" t="inlineStr"/>
      <c r="E130" t="inlineStr"/>
      <c r="F130" t="inlineStr">
        <is>
          <t>正保琉球国絵図写</t>
        </is>
      </c>
      <c r="G130" t="inlineStr"/>
      <c r="H130" t="inlineStr"/>
      <c r="I130" t="inlineStr">
        <is>
          <t>56</t>
        </is>
      </c>
      <c r="J130" t="inlineStr"/>
      <c r="K130" t="inlineStr"/>
      <c r="L130" s="1">
        <f>HYPERLINK("https://www.hi.u-tokyo.ac.jp/collection/degitalgallary/ryukyu/item/10129", "https://www.hi.u-tokyo.ac.jp/collection/degitalgallary/ryukyu/item/10129")</f>
        <v/>
      </c>
    </row>
    <row r="131">
      <c r="A131" t="inlineStr">
        <is>
          <t>10130</t>
        </is>
      </c>
      <c r="B131" t="inlineStr">
        <is>
          <t>たん崎</t>
        </is>
      </c>
      <c r="C131" t="inlineStr">
        <is>
          <t>崎</t>
        </is>
      </c>
      <c r="D131" t="inlineStr"/>
      <c r="E131" t="inlineStr"/>
      <c r="F131" t="inlineStr">
        <is>
          <t>正保琉球国絵図写</t>
        </is>
      </c>
      <c r="G131" t="inlineStr"/>
      <c r="H131" t="inlineStr"/>
      <c r="I131" t="inlineStr">
        <is>
          <t>57</t>
        </is>
      </c>
      <c r="J131" t="inlineStr"/>
      <c r="K131" t="inlineStr"/>
      <c r="L131" s="1">
        <f>HYPERLINK("https://www.hi.u-tokyo.ac.jp/collection/degitalgallary/ryukyu/item/10130", "https://www.hi.u-tokyo.ac.jp/collection/degitalgallary/ryukyu/item/10130")</f>
        <v/>
      </c>
    </row>
    <row r="132">
      <c r="A132" t="inlineStr">
        <is>
          <t>10131</t>
        </is>
      </c>
      <c r="B132" t="inlineStr">
        <is>
          <t>のりせ崎</t>
        </is>
      </c>
      <c r="C132" t="inlineStr">
        <is>
          <t>崎</t>
        </is>
      </c>
      <c r="D132" t="inlineStr">
        <is>
          <t>28.4618104</t>
        </is>
      </c>
      <c r="E132" t="inlineStr">
        <is>
          <t>129.5446668</t>
        </is>
      </c>
      <c r="F132" t="inlineStr">
        <is>
          <t>正保琉球国絵図写</t>
        </is>
      </c>
      <c r="G132" t="inlineStr"/>
      <c r="H132" t="inlineStr"/>
      <c r="I132" t="inlineStr">
        <is>
          <t>58</t>
        </is>
      </c>
      <c r="J132" t="inlineStr"/>
      <c r="K132" t="inlineStr">
        <is>
          <t>鹿児島県大島郡龍郷町秋名</t>
        </is>
      </c>
      <c r="L132" s="1">
        <f>HYPERLINK("https://www.hi.u-tokyo.ac.jp/collection/degitalgallary/ryukyu/item/10131", "https://www.hi.u-tokyo.ac.jp/collection/degitalgallary/ryukyu/item/10131")</f>
        <v/>
      </c>
    </row>
    <row r="133">
      <c r="A133" t="inlineStr">
        <is>
          <t>10132</t>
        </is>
      </c>
      <c r="B133" t="inlineStr">
        <is>
          <t>奥ノくハ</t>
        </is>
      </c>
      <c r="C133" t="inlineStr">
        <is>
          <t>その他</t>
        </is>
      </c>
      <c r="D133" t="inlineStr"/>
      <c r="E133" t="inlineStr"/>
      <c r="F133" t="inlineStr">
        <is>
          <t>正保琉球国絵図写</t>
        </is>
      </c>
      <c r="G133" t="inlineStr"/>
      <c r="H133" t="inlineStr"/>
      <c r="I133" t="inlineStr">
        <is>
          <t>59</t>
        </is>
      </c>
      <c r="J133" t="inlineStr"/>
      <c r="K133" t="inlineStr"/>
      <c r="L133" s="1">
        <f>HYPERLINK("https://www.hi.u-tokyo.ac.jp/collection/degitalgallary/ryukyu/item/10132", "https://www.hi.u-tokyo.ac.jp/collection/degitalgallary/ryukyu/item/10132")</f>
        <v/>
      </c>
    </row>
    <row r="134">
      <c r="A134" t="inlineStr">
        <is>
          <t>10133</t>
        </is>
      </c>
      <c r="B134" t="inlineStr">
        <is>
          <t>ほらん崎</t>
        </is>
      </c>
      <c r="C134" t="inlineStr">
        <is>
          <t>崎</t>
        </is>
      </c>
      <c r="D134" t="inlineStr">
        <is>
          <t>28.4451453</t>
        </is>
      </c>
      <c r="E134" t="inlineStr">
        <is>
          <t>129.5233771</t>
        </is>
      </c>
      <c r="F134" t="inlineStr">
        <is>
          <t>正保琉球国絵図写</t>
        </is>
      </c>
      <c r="G134" t="inlineStr"/>
      <c r="H134" t="inlineStr"/>
      <c r="I134" t="inlineStr">
        <is>
          <t>60</t>
        </is>
      </c>
      <c r="J134" t="inlineStr"/>
      <c r="K134" t="inlineStr">
        <is>
          <t>鹿児島県奄美市名瀬大字有良</t>
        </is>
      </c>
      <c r="L134" s="1">
        <f>HYPERLINK("https://www.hi.u-tokyo.ac.jp/collection/degitalgallary/ryukyu/item/10133", "https://www.hi.u-tokyo.ac.jp/collection/degitalgallary/ryukyu/item/10133")</f>
        <v/>
      </c>
    </row>
    <row r="135">
      <c r="A135" t="inlineStr">
        <is>
          <t>10134</t>
        </is>
      </c>
      <c r="B135" t="inlineStr">
        <is>
          <t>大瀬</t>
        </is>
      </c>
      <c r="C135" t="inlineStr">
        <is>
          <t>干瀬</t>
        </is>
      </c>
      <c r="D135" t="inlineStr"/>
      <c r="E135" t="inlineStr"/>
      <c r="F135" t="inlineStr">
        <is>
          <t>正保琉球国絵図写</t>
        </is>
      </c>
      <c r="G135" t="inlineStr"/>
      <c r="H135" t="inlineStr"/>
      <c r="I135" t="inlineStr">
        <is>
          <t>61</t>
        </is>
      </c>
      <c r="J135" t="inlineStr"/>
      <c r="K135" t="inlineStr"/>
      <c r="L135" s="1">
        <f>HYPERLINK("https://www.hi.u-tokyo.ac.jp/collection/degitalgallary/ryukyu/item/10134", "https://www.hi.u-tokyo.ac.jp/collection/degitalgallary/ryukyu/item/10134")</f>
        <v/>
      </c>
    </row>
    <row r="136">
      <c r="A136" t="inlineStr">
        <is>
          <t>10135</t>
        </is>
      </c>
      <c r="B136" t="inlineStr">
        <is>
          <t>大瀬</t>
        </is>
      </c>
      <c r="C136" t="inlineStr">
        <is>
          <t>干瀬</t>
        </is>
      </c>
      <c r="D136" t="inlineStr"/>
      <c r="E136" t="inlineStr"/>
      <c r="F136" t="inlineStr">
        <is>
          <t>正保琉球国絵図写</t>
        </is>
      </c>
      <c r="G136" t="inlineStr"/>
      <c r="H136" t="inlineStr"/>
      <c r="I136" t="inlineStr">
        <is>
          <t>62</t>
        </is>
      </c>
      <c r="J136" t="inlineStr"/>
      <c r="K136" t="inlineStr"/>
      <c r="L136" s="1">
        <f>HYPERLINK("https://www.hi.u-tokyo.ac.jp/collection/degitalgallary/ryukyu/item/10135", "https://www.hi.u-tokyo.ac.jp/collection/degitalgallary/ryukyu/item/10135")</f>
        <v/>
      </c>
    </row>
    <row r="137">
      <c r="A137" t="inlineStr">
        <is>
          <t>10136</t>
        </is>
      </c>
      <c r="B137" t="inlineStr">
        <is>
          <t>三つ瀬</t>
        </is>
      </c>
      <c r="C137" t="inlineStr">
        <is>
          <t>干瀬</t>
        </is>
      </c>
      <c r="D137" t="inlineStr"/>
      <c r="E137" t="inlineStr"/>
      <c r="F137" t="inlineStr">
        <is>
          <t>正保琉球国絵図写</t>
        </is>
      </c>
      <c r="G137" t="inlineStr"/>
      <c r="H137" t="inlineStr"/>
      <c r="I137" t="inlineStr">
        <is>
          <t>63</t>
        </is>
      </c>
      <c r="J137" t="inlineStr"/>
      <c r="K137" t="inlineStr"/>
      <c r="L137" s="1">
        <f>HYPERLINK("https://www.hi.u-tokyo.ac.jp/collection/degitalgallary/ryukyu/item/10136", "https://www.hi.u-tokyo.ac.jp/collection/degitalgallary/ryukyu/item/10136")</f>
        <v/>
      </c>
    </row>
    <row r="138">
      <c r="A138" t="inlineStr">
        <is>
          <t>10137</t>
        </is>
      </c>
      <c r="B138" t="inlineStr">
        <is>
          <t>立神</t>
        </is>
      </c>
      <c r="C138" t="inlineStr">
        <is>
          <t>その他</t>
        </is>
      </c>
      <c r="D138" t="inlineStr"/>
      <c r="E138" t="inlineStr"/>
      <c r="F138" t="inlineStr">
        <is>
          <t>正保琉球国絵図写</t>
        </is>
      </c>
      <c r="G138" t="inlineStr"/>
      <c r="H138" t="inlineStr"/>
      <c r="I138" t="inlineStr">
        <is>
          <t>64</t>
        </is>
      </c>
      <c r="J138" t="inlineStr"/>
      <c r="K138" t="inlineStr"/>
      <c r="L138" s="1">
        <f>HYPERLINK("https://www.hi.u-tokyo.ac.jp/collection/degitalgallary/ryukyu/item/10137", "https://www.hi.u-tokyo.ac.jp/collection/degitalgallary/ryukyu/item/10137")</f>
        <v/>
      </c>
    </row>
    <row r="139">
      <c r="A139" t="inlineStr">
        <is>
          <t>10138</t>
        </is>
      </c>
      <c r="B139" t="inlineStr">
        <is>
          <t>かいにやな</t>
        </is>
      </c>
      <c r="C139" t="inlineStr">
        <is>
          <t>その他</t>
        </is>
      </c>
      <c r="D139" t="inlineStr"/>
      <c r="E139" t="inlineStr"/>
      <c r="F139" t="inlineStr">
        <is>
          <t>正保琉球国絵図写</t>
        </is>
      </c>
      <c r="G139" t="inlineStr"/>
      <c r="H139" t="inlineStr"/>
      <c r="I139" t="inlineStr">
        <is>
          <t>65</t>
        </is>
      </c>
      <c r="J139" t="inlineStr"/>
      <c r="K139" t="inlineStr"/>
      <c r="L139" s="1">
        <f>HYPERLINK("https://www.hi.u-tokyo.ac.jp/collection/degitalgallary/ryukyu/item/10138", "https://www.hi.u-tokyo.ac.jp/collection/degitalgallary/ryukyu/item/10138")</f>
        <v/>
      </c>
    </row>
    <row r="140">
      <c r="A140" t="inlineStr">
        <is>
          <t>10139</t>
        </is>
      </c>
      <c r="B140" t="inlineStr">
        <is>
          <t>くろこミ</t>
        </is>
      </c>
      <c r="C140" t="inlineStr">
        <is>
          <t>その他</t>
        </is>
      </c>
      <c r="D140" t="inlineStr"/>
      <c r="E140" t="inlineStr"/>
      <c r="F140" t="inlineStr">
        <is>
          <t>正保琉球国絵図写</t>
        </is>
      </c>
      <c r="G140" t="inlineStr"/>
      <c r="H140" t="inlineStr"/>
      <c r="I140" t="inlineStr">
        <is>
          <t>66</t>
        </is>
      </c>
      <c r="J140" t="inlineStr"/>
      <c r="K140" t="inlineStr"/>
      <c r="L140" s="1">
        <f>HYPERLINK("https://www.hi.u-tokyo.ac.jp/collection/degitalgallary/ryukyu/item/10139", "https://www.hi.u-tokyo.ac.jp/collection/degitalgallary/ryukyu/item/10139")</f>
        <v/>
      </c>
    </row>
    <row r="141">
      <c r="A141" t="inlineStr">
        <is>
          <t>10140</t>
        </is>
      </c>
      <c r="B141" t="inlineStr">
        <is>
          <t>名瀬ノ湊</t>
        </is>
      </c>
      <c r="C141" t="inlineStr">
        <is>
          <t>港湾</t>
        </is>
      </c>
      <c r="D141" t="inlineStr"/>
      <c r="E141" t="inlineStr"/>
      <c r="F141" t="inlineStr">
        <is>
          <t>正保琉球国絵図写</t>
        </is>
      </c>
      <c r="G141" t="inlineStr">
        <is>
          <t>此名瀬之湊、入十二町、広さ五町、干汐ニ深さ八尋、大船十四五艘程繋ル、西風北風ノ時船繋リ不自由</t>
        </is>
      </c>
      <c r="H141" t="inlineStr"/>
      <c r="I141" t="inlineStr">
        <is>
          <t>67</t>
        </is>
      </c>
      <c r="J141" t="inlineStr"/>
      <c r="K141" t="inlineStr"/>
      <c r="L141" s="1">
        <f>HYPERLINK("https://www.hi.u-tokyo.ac.jp/collection/degitalgallary/ryukyu/item/10140", "https://www.hi.u-tokyo.ac.jp/collection/degitalgallary/ryukyu/item/10140")</f>
        <v/>
      </c>
    </row>
    <row r="142">
      <c r="A142" t="inlineStr">
        <is>
          <t>10141</t>
        </is>
      </c>
      <c r="B142" t="inlineStr">
        <is>
          <t>赤崎</t>
        </is>
      </c>
      <c r="C142" t="inlineStr">
        <is>
          <t>崎</t>
        </is>
      </c>
      <c r="D142" t="inlineStr">
        <is>
          <t>28.4016995</t>
        </is>
      </c>
      <c r="E142" t="inlineStr">
        <is>
          <t>129.4890583</t>
        </is>
      </c>
      <c r="F142" t="inlineStr">
        <is>
          <t>正保琉球国絵図写</t>
        </is>
      </c>
      <c r="G142" t="inlineStr"/>
      <c r="H142" t="inlineStr"/>
      <c r="I142" t="inlineStr">
        <is>
          <t>68</t>
        </is>
      </c>
      <c r="J142" t="inlineStr"/>
      <c r="K142" t="inlineStr">
        <is>
          <t>鹿児島県奄美市名瀬大字朝仁</t>
        </is>
      </c>
      <c r="L142" s="1">
        <f>HYPERLINK("https://www.hi.u-tokyo.ac.jp/collection/degitalgallary/ryukyu/item/10141", "https://www.hi.u-tokyo.ac.jp/collection/degitalgallary/ryukyu/item/10141")</f>
        <v/>
      </c>
    </row>
    <row r="143">
      <c r="A143" t="inlineStr">
        <is>
          <t>10142</t>
        </is>
      </c>
      <c r="B143" t="inlineStr">
        <is>
          <t>遠干潟</t>
        </is>
      </c>
      <c r="C143" t="inlineStr">
        <is>
          <t>干瀬</t>
        </is>
      </c>
      <c r="D143" t="inlineStr"/>
      <c r="E143" t="inlineStr"/>
      <c r="F143" t="inlineStr">
        <is>
          <t>正保琉球国絵図写</t>
        </is>
      </c>
      <c r="G143" t="inlineStr"/>
      <c r="H143" t="inlineStr"/>
      <c r="I143" t="inlineStr">
        <is>
          <t>69</t>
        </is>
      </c>
      <c r="J143" t="inlineStr"/>
      <c r="K143" t="inlineStr"/>
      <c r="L143" s="1">
        <f>HYPERLINK("https://www.hi.u-tokyo.ac.jp/collection/degitalgallary/ryukyu/item/10142", "https://www.hi.u-tokyo.ac.jp/collection/degitalgallary/ryukyu/item/10142")</f>
        <v/>
      </c>
    </row>
    <row r="144">
      <c r="A144" t="inlineStr">
        <is>
          <t>10143</t>
        </is>
      </c>
      <c r="B144" t="inlineStr">
        <is>
          <t>あやう崎</t>
        </is>
      </c>
      <c r="C144" t="inlineStr">
        <is>
          <t>崎</t>
        </is>
      </c>
      <c r="D144" t="inlineStr">
        <is>
          <t>28.407908</t>
        </is>
      </c>
      <c r="E144" t="inlineStr">
        <is>
          <t>129.470982</t>
        </is>
      </c>
      <c r="F144" t="inlineStr">
        <is>
          <t>正保琉球国絵図写</t>
        </is>
      </c>
      <c r="G144" t="inlineStr"/>
      <c r="H144" t="inlineStr"/>
      <c r="I144" t="inlineStr">
        <is>
          <t>70</t>
        </is>
      </c>
      <c r="J144" t="inlineStr"/>
      <c r="K144" t="inlineStr">
        <is>
          <t>鹿児島県奄美市名瀬大字小宿</t>
        </is>
      </c>
      <c r="L144" s="1">
        <f>HYPERLINK("https://www.hi.u-tokyo.ac.jp/collection/degitalgallary/ryukyu/item/10143", "https://www.hi.u-tokyo.ac.jp/collection/degitalgallary/ryukyu/item/10143")</f>
        <v/>
      </c>
    </row>
    <row r="145">
      <c r="A145" t="inlineStr">
        <is>
          <t>10144</t>
        </is>
      </c>
      <c r="B145" t="inlineStr">
        <is>
          <t>名瀬湊より大和馬場湊迄、海上五里</t>
        </is>
      </c>
      <c r="C145" t="inlineStr">
        <is>
          <t>航路</t>
        </is>
      </c>
      <c r="D145" t="inlineStr"/>
      <c r="E145" t="inlineStr"/>
      <c r="F145" t="inlineStr">
        <is>
          <t>正保琉球国絵図写</t>
        </is>
      </c>
      <c r="G145" t="inlineStr"/>
      <c r="H145" t="inlineStr"/>
      <c r="I145" t="inlineStr">
        <is>
          <t>71</t>
        </is>
      </c>
      <c r="J145" t="inlineStr"/>
      <c r="K145" t="inlineStr"/>
      <c r="L145" s="1">
        <f>HYPERLINK("https://www.hi.u-tokyo.ac.jp/collection/degitalgallary/ryukyu/item/10144", "https://www.hi.u-tokyo.ac.jp/collection/degitalgallary/ryukyu/item/10144")</f>
        <v/>
      </c>
    </row>
    <row r="146">
      <c r="A146" t="inlineStr">
        <is>
          <t>10145</t>
        </is>
      </c>
      <c r="B146" t="inlineStr">
        <is>
          <t>立瀬</t>
        </is>
      </c>
      <c r="C146" t="inlineStr">
        <is>
          <t>干瀬</t>
        </is>
      </c>
      <c r="D146" t="inlineStr">
        <is>
          <t>28.41187</t>
        </is>
      </c>
      <c r="E146" t="inlineStr">
        <is>
          <t>129.4549944</t>
        </is>
      </c>
      <c r="F146" t="inlineStr">
        <is>
          <t>正保琉球国絵図写</t>
        </is>
      </c>
      <c r="G146" t="inlineStr"/>
      <c r="H146" t="inlineStr"/>
      <c r="I146" t="inlineStr">
        <is>
          <t>72</t>
        </is>
      </c>
      <c r="J146" t="inlineStr"/>
      <c r="K146" t="inlineStr">
        <is>
          <t>鹿児島県奄美市名瀬大字小宿</t>
        </is>
      </c>
      <c r="L146" s="1">
        <f>HYPERLINK("https://www.hi.u-tokyo.ac.jp/collection/degitalgallary/ryukyu/item/10145", "https://www.hi.u-tokyo.ac.jp/collection/degitalgallary/ryukyu/item/10145")</f>
        <v/>
      </c>
    </row>
    <row r="147">
      <c r="A147" t="inlineStr">
        <is>
          <t>10146</t>
        </is>
      </c>
      <c r="B147" t="inlineStr">
        <is>
          <t>船瀬</t>
        </is>
      </c>
      <c r="C147" t="inlineStr">
        <is>
          <t>干瀬</t>
        </is>
      </c>
      <c r="D147" t="inlineStr"/>
      <c r="E147" t="inlineStr"/>
      <c r="F147" t="inlineStr">
        <is>
          <t>正保琉球国絵図写</t>
        </is>
      </c>
      <c r="G147" t="inlineStr"/>
      <c r="H147" t="inlineStr"/>
      <c r="I147" t="inlineStr">
        <is>
          <t>73</t>
        </is>
      </c>
      <c r="J147" t="inlineStr"/>
      <c r="K147" t="inlineStr"/>
      <c r="L147" s="1">
        <f>HYPERLINK("https://www.hi.u-tokyo.ac.jp/collection/degitalgallary/ryukyu/item/10146", "https://www.hi.u-tokyo.ac.jp/collection/degitalgallary/ryukyu/item/10146")</f>
        <v/>
      </c>
    </row>
    <row r="148">
      <c r="A148" t="inlineStr">
        <is>
          <t>10147</t>
        </is>
      </c>
      <c r="B148" t="inlineStr">
        <is>
          <t>都崎</t>
        </is>
      </c>
      <c r="C148" t="inlineStr">
        <is>
          <t>崎</t>
        </is>
      </c>
      <c r="D148" t="inlineStr">
        <is>
          <t>28.385316</t>
        </is>
      </c>
      <c r="E148" t="inlineStr">
        <is>
          <t>129.3952953</t>
        </is>
      </c>
      <c r="F148" t="inlineStr">
        <is>
          <t>正保琉球国絵図写</t>
        </is>
      </c>
      <c r="G148" t="inlineStr"/>
      <c r="H148" t="inlineStr"/>
      <c r="I148" t="inlineStr">
        <is>
          <t>74</t>
        </is>
      </c>
      <c r="J148" t="inlineStr"/>
      <c r="K148" t="inlineStr">
        <is>
          <t>鹿児島県奄美市名瀬大字根瀬部</t>
        </is>
      </c>
      <c r="L148" s="1">
        <f>HYPERLINK("https://www.hi.u-tokyo.ac.jp/collection/degitalgallary/ryukyu/item/10147", "https://www.hi.u-tokyo.ac.jp/collection/degitalgallary/ryukyu/item/10147")</f>
        <v/>
      </c>
    </row>
    <row r="149">
      <c r="A149" t="inlineStr">
        <is>
          <t>10148</t>
        </is>
      </c>
      <c r="B149" t="inlineStr">
        <is>
          <t>大和馬場湊</t>
        </is>
      </c>
      <c r="C149" t="inlineStr">
        <is>
          <t>港湾</t>
        </is>
      </c>
      <c r="D149" t="inlineStr">
        <is>
          <t>28.3361951</t>
        </is>
      </c>
      <c r="E149" t="inlineStr">
        <is>
          <t>129.3776715</t>
        </is>
      </c>
      <c r="F149" t="inlineStr">
        <is>
          <t>正保琉球国絵図写</t>
        </is>
      </c>
      <c r="G149" t="inlineStr">
        <is>
          <t>此大和馬場湊、入五町、広サ三町、干汐ノ時深サ十二尋、大船五六艘程繋ル、東風ニ船かゝり不成</t>
        </is>
      </c>
      <c r="H149" t="inlineStr"/>
      <c r="I149" t="inlineStr">
        <is>
          <t>75</t>
        </is>
      </c>
      <c r="J149" t="inlineStr"/>
      <c r="K149" t="inlineStr">
        <is>
          <t>鹿児島県大島郡大和村大和浜</t>
        </is>
      </c>
      <c r="L149" s="1">
        <f>HYPERLINK("https://www.hi.u-tokyo.ac.jp/collection/degitalgallary/ryukyu/item/10148", "https://www.hi.u-tokyo.ac.jp/collection/degitalgallary/ryukyu/item/10148")</f>
        <v/>
      </c>
    </row>
    <row r="150">
      <c r="A150" t="inlineStr">
        <is>
          <t>10149</t>
        </is>
      </c>
      <c r="B150" t="inlineStr">
        <is>
          <t>高瀬</t>
        </is>
      </c>
      <c r="C150" t="inlineStr">
        <is>
          <t>干瀬</t>
        </is>
      </c>
      <c r="D150" t="inlineStr"/>
      <c r="E150" t="inlineStr"/>
      <c r="F150" t="inlineStr">
        <is>
          <t>正保琉球国絵図写</t>
        </is>
      </c>
      <c r="G150" t="inlineStr"/>
      <c r="H150" t="inlineStr"/>
      <c r="I150" t="inlineStr">
        <is>
          <t>76</t>
        </is>
      </c>
      <c r="J150" t="inlineStr"/>
      <c r="K150" t="inlineStr"/>
      <c r="L150" s="1">
        <f>HYPERLINK("https://www.hi.u-tokyo.ac.jp/collection/degitalgallary/ryukyu/item/10149", "https://www.hi.u-tokyo.ac.jp/collection/degitalgallary/ryukyu/item/10149")</f>
        <v/>
      </c>
    </row>
    <row r="151">
      <c r="A151" t="inlineStr">
        <is>
          <t>10150</t>
        </is>
      </c>
      <c r="B151" t="inlineStr">
        <is>
          <t>鳥崎</t>
        </is>
      </c>
      <c r="C151" t="inlineStr">
        <is>
          <t>崎</t>
        </is>
      </c>
      <c r="D151" t="inlineStr"/>
      <c r="E151" t="inlineStr"/>
      <c r="F151" t="inlineStr">
        <is>
          <t>正保琉球国絵図写</t>
        </is>
      </c>
      <c r="G151" t="inlineStr"/>
      <c r="H151" t="inlineStr"/>
      <c r="I151" t="inlineStr">
        <is>
          <t>77</t>
        </is>
      </c>
      <c r="J151" t="inlineStr"/>
      <c r="K151" t="inlineStr"/>
      <c r="L151" s="1">
        <f>HYPERLINK("https://www.hi.u-tokyo.ac.jp/collection/degitalgallary/ryukyu/item/10150", "https://www.hi.u-tokyo.ac.jp/collection/degitalgallary/ryukyu/item/10150")</f>
        <v/>
      </c>
    </row>
    <row r="152">
      <c r="A152" t="inlineStr">
        <is>
          <t>10151</t>
        </is>
      </c>
      <c r="B152" t="inlineStr">
        <is>
          <t>黒瀬</t>
        </is>
      </c>
      <c r="C152" t="inlineStr">
        <is>
          <t>干瀬</t>
        </is>
      </c>
      <c r="D152" t="inlineStr">
        <is>
          <t>28.3590347</t>
        </is>
      </c>
      <c r="E152" t="inlineStr">
        <is>
          <t>129.3541259</t>
        </is>
      </c>
      <c r="F152" t="inlineStr">
        <is>
          <t>正保琉球国絵図写</t>
        </is>
      </c>
      <c r="G152" t="inlineStr"/>
      <c r="H152" t="inlineStr"/>
      <c r="I152" t="inlineStr">
        <is>
          <t>78</t>
        </is>
      </c>
      <c r="J152" t="inlineStr"/>
      <c r="K152" t="inlineStr">
        <is>
          <t>鹿児島県大島郡大和村大金久</t>
        </is>
      </c>
      <c r="L152" s="1">
        <f>HYPERLINK("https://www.hi.u-tokyo.ac.jp/collection/degitalgallary/ryukyu/item/10151", "https://www.hi.u-tokyo.ac.jp/collection/degitalgallary/ryukyu/item/10151")</f>
        <v/>
      </c>
    </row>
    <row r="153">
      <c r="A153" t="inlineStr">
        <is>
          <t>10152</t>
        </is>
      </c>
      <c r="B153" t="inlineStr">
        <is>
          <t>おりせの崎</t>
        </is>
      </c>
      <c r="C153" t="inlineStr">
        <is>
          <t>崎</t>
        </is>
      </c>
      <c r="D153" t="inlineStr">
        <is>
          <t>28.3610631</t>
        </is>
      </c>
      <c r="E153" t="inlineStr">
        <is>
          <t>129.3519234</t>
        </is>
      </c>
      <c r="F153" t="inlineStr">
        <is>
          <t>正保琉球国絵図写</t>
        </is>
      </c>
      <c r="G153" t="inlineStr"/>
      <c r="H153" t="inlineStr"/>
      <c r="I153" t="inlineStr">
        <is>
          <t>79</t>
        </is>
      </c>
      <c r="J153" t="inlineStr"/>
      <c r="K153" t="inlineStr">
        <is>
          <t>鹿児島県大島郡大和村大金久</t>
        </is>
      </c>
      <c r="L153" s="1">
        <f>HYPERLINK("https://www.hi.u-tokyo.ac.jp/collection/degitalgallary/ryukyu/item/10152", "https://www.hi.u-tokyo.ac.jp/collection/degitalgallary/ryukyu/item/10152")</f>
        <v/>
      </c>
    </row>
    <row r="154">
      <c r="A154" t="inlineStr">
        <is>
          <t>10153</t>
        </is>
      </c>
      <c r="B154" t="inlineStr">
        <is>
          <t>通り瀬</t>
        </is>
      </c>
      <c r="C154" t="inlineStr">
        <is>
          <t>干瀬</t>
        </is>
      </c>
      <c r="D154" t="inlineStr">
        <is>
          <t>28.3678738</t>
        </is>
      </c>
      <c r="E154" t="inlineStr">
        <is>
          <t>129.3481652</t>
        </is>
      </c>
      <c r="F154" t="inlineStr">
        <is>
          <t>正保琉球国絵図写</t>
        </is>
      </c>
      <c r="G154" t="inlineStr"/>
      <c r="H154" t="inlineStr"/>
      <c r="I154" t="inlineStr">
        <is>
          <t>80</t>
        </is>
      </c>
      <c r="J154" t="inlineStr"/>
      <c r="K154" t="inlineStr">
        <is>
          <t>鹿児島県大島郡大和村大金久</t>
        </is>
      </c>
      <c r="L154" s="1">
        <f>HYPERLINK("https://www.hi.u-tokyo.ac.jp/collection/degitalgallary/ryukyu/item/10153", "https://www.hi.u-tokyo.ac.jp/collection/degitalgallary/ryukyu/item/10153")</f>
        <v/>
      </c>
    </row>
    <row r="155">
      <c r="A155" t="inlineStr">
        <is>
          <t>10154</t>
        </is>
      </c>
      <c r="B155" t="inlineStr">
        <is>
          <t>大崎</t>
        </is>
      </c>
      <c r="C155" t="inlineStr">
        <is>
          <t>崎</t>
        </is>
      </c>
      <c r="D155" t="inlineStr">
        <is>
          <t>28.3689229</t>
        </is>
      </c>
      <c r="E155" t="inlineStr">
        <is>
          <t>129.3445322</t>
        </is>
      </c>
      <c r="F155" t="inlineStr">
        <is>
          <t>正保琉球国絵図写</t>
        </is>
      </c>
      <c r="G155" t="inlineStr"/>
      <c r="H155" t="inlineStr"/>
      <c r="I155" t="inlineStr">
        <is>
          <t>81</t>
        </is>
      </c>
      <c r="J155" t="inlineStr"/>
      <c r="K155" t="inlineStr">
        <is>
          <t>鹿児島県大島郡大和村大金久</t>
        </is>
      </c>
      <c r="L155" s="1">
        <f>HYPERLINK("https://www.hi.u-tokyo.ac.jp/collection/degitalgallary/ryukyu/item/10154", "https://www.hi.u-tokyo.ac.jp/collection/degitalgallary/ryukyu/item/10154")</f>
        <v/>
      </c>
    </row>
    <row r="156">
      <c r="A156" t="inlineStr">
        <is>
          <t>10155</t>
        </is>
      </c>
      <c r="B156" t="inlineStr">
        <is>
          <t>大和馬場湊より焼内湊迄、海上七里</t>
        </is>
      </c>
      <c r="C156" t="inlineStr">
        <is>
          <t>航路</t>
        </is>
      </c>
      <c r="D156" t="inlineStr"/>
      <c r="E156" t="inlineStr"/>
      <c r="F156" t="inlineStr">
        <is>
          <t>正保琉球国絵図写</t>
        </is>
      </c>
      <c r="G156" t="inlineStr"/>
      <c r="H156" t="inlineStr"/>
      <c r="I156" t="inlineStr">
        <is>
          <t>82</t>
        </is>
      </c>
      <c r="J156" t="inlineStr"/>
      <c r="K156" t="inlineStr"/>
      <c r="L156" s="1">
        <f>HYPERLINK("https://www.hi.u-tokyo.ac.jp/collection/degitalgallary/ryukyu/item/10155", "https://www.hi.u-tokyo.ac.jp/collection/degitalgallary/ryukyu/item/10155")</f>
        <v/>
      </c>
    </row>
    <row r="157">
      <c r="A157" t="inlineStr">
        <is>
          <t>10156</t>
        </is>
      </c>
      <c r="B157" t="inlineStr">
        <is>
          <t>あさん崎</t>
        </is>
      </c>
      <c r="C157" t="inlineStr">
        <is>
          <t>崎</t>
        </is>
      </c>
      <c r="D157" t="inlineStr">
        <is>
          <t>28.3497355</t>
        </is>
      </c>
      <c r="E157" t="inlineStr">
        <is>
          <t>129.3113573</t>
        </is>
      </c>
      <c r="F157" t="inlineStr">
        <is>
          <t>正保琉球国絵図写</t>
        </is>
      </c>
      <c r="G157" t="inlineStr"/>
      <c r="H157" t="inlineStr"/>
      <c r="I157" t="inlineStr">
        <is>
          <t>83</t>
        </is>
      </c>
      <c r="J157" t="inlineStr"/>
      <c r="K157" t="inlineStr">
        <is>
          <t>鹿児島県大島郡大和村戸円</t>
        </is>
      </c>
      <c r="L157" s="1">
        <f>HYPERLINK("https://www.hi.u-tokyo.ac.jp/collection/degitalgallary/ryukyu/item/10156", "https://www.hi.u-tokyo.ac.jp/collection/degitalgallary/ryukyu/item/10156")</f>
        <v/>
      </c>
    </row>
    <row r="158">
      <c r="A158" t="inlineStr">
        <is>
          <t>10157</t>
        </is>
      </c>
      <c r="B158" t="inlineStr">
        <is>
          <t>大嶋
高壱万四百五拾五石五斗
嶋廻五拾九里拾町</t>
        </is>
      </c>
      <c r="C158" t="inlineStr">
        <is>
          <t>島</t>
        </is>
      </c>
      <c r="D158" t="inlineStr"/>
      <c r="E158" t="inlineStr"/>
      <c r="F158" t="inlineStr">
        <is>
          <t>正保琉球国絵図写</t>
        </is>
      </c>
      <c r="G158" t="inlineStr"/>
      <c r="H158" t="inlineStr"/>
      <c r="I158" t="inlineStr">
        <is>
          <t>84</t>
        </is>
      </c>
      <c r="J158" t="inlineStr"/>
      <c r="K158" t="inlineStr"/>
      <c r="L158" s="1">
        <f>HYPERLINK("https://www.hi.u-tokyo.ac.jp/collection/degitalgallary/ryukyu/item/10157", "https://www.hi.u-tokyo.ac.jp/collection/degitalgallary/ryukyu/item/10157")</f>
        <v/>
      </c>
    </row>
    <row r="159">
      <c r="A159" t="inlineStr">
        <is>
          <t>10158</t>
        </is>
      </c>
      <c r="B159" t="inlineStr">
        <is>
          <t>より瀬</t>
        </is>
      </c>
      <c r="C159" t="inlineStr">
        <is>
          <t>干瀬</t>
        </is>
      </c>
      <c r="D159" t="inlineStr">
        <is>
          <t>28.3314585</t>
        </is>
      </c>
      <c r="E159" t="inlineStr">
        <is>
          <t>129.2878372</t>
        </is>
      </c>
      <c r="F159" t="inlineStr">
        <is>
          <t>正保琉球国絵図写</t>
        </is>
      </c>
      <c r="G159" t="inlineStr"/>
      <c r="H159" t="inlineStr"/>
      <c r="I159" t="inlineStr">
        <is>
          <t>85</t>
        </is>
      </c>
      <c r="J159" t="inlineStr"/>
      <c r="K159" t="inlineStr">
        <is>
          <t>鹿児島県大島郡大和村志戸勘</t>
        </is>
      </c>
      <c r="L159" s="1">
        <f>HYPERLINK("https://www.hi.u-tokyo.ac.jp/collection/degitalgallary/ryukyu/item/10158", "https://www.hi.u-tokyo.ac.jp/collection/degitalgallary/ryukyu/item/10158")</f>
        <v/>
      </c>
    </row>
    <row r="160">
      <c r="A160" t="inlineStr">
        <is>
          <t>10159</t>
        </is>
      </c>
      <c r="B160" t="inlineStr">
        <is>
          <t>宮里立神</t>
        </is>
      </c>
      <c r="C160" t="inlineStr">
        <is>
          <t>その他</t>
        </is>
      </c>
      <c r="D160" t="inlineStr">
        <is>
          <t>28.332007</t>
        </is>
      </c>
      <c r="E160" t="inlineStr">
        <is>
          <t>129.2740926</t>
        </is>
      </c>
      <c r="F160" t="inlineStr">
        <is>
          <t>正保琉球国絵図写</t>
        </is>
      </c>
      <c r="G160" t="inlineStr"/>
      <c r="H160" t="inlineStr"/>
      <c r="I160" t="inlineStr">
        <is>
          <t>86</t>
        </is>
      </c>
      <c r="J160" t="inlineStr"/>
      <c r="K160" t="inlineStr">
        <is>
          <t>鹿児島県大島郡大和村今里</t>
        </is>
      </c>
      <c r="L160" s="1">
        <f>HYPERLINK("https://www.hi.u-tokyo.ac.jp/collection/degitalgallary/ryukyu/item/10159", "https://www.hi.u-tokyo.ac.jp/collection/degitalgallary/ryukyu/item/10159")</f>
        <v/>
      </c>
    </row>
    <row r="161">
      <c r="A161" t="inlineStr">
        <is>
          <t>10160</t>
        </is>
      </c>
      <c r="B161" t="inlineStr">
        <is>
          <t>けん崎</t>
        </is>
      </c>
      <c r="C161" t="inlineStr">
        <is>
          <t>崎</t>
        </is>
      </c>
      <c r="D161" t="inlineStr">
        <is>
          <t>28.3270001</t>
        </is>
      </c>
      <c r="E161" t="inlineStr">
        <is>
          <t>129.2658115</t>
        </is>
      </c>
      <c r="F161" t="inlineStr">
        <is>
          <t>正保琉球国絵図写</t>
        </is>
      </c>
      <c r="G161" t="inlineStr"/>
      <c r="H161" t="inlineStr"/>
      <c r="I161" t="inlineStr">
        <is>
          <t>87</t>
        </is>
      </c>
      <c r="J161" t="inlineStr"/>
      <c r="K161" t="inlineStr">
        <is>
          <t>鹿児島県大島郡大和村今里</t>
        </is>
      </c>
      <c r="L161" s="1">
        <f>HYPERLINK("https://www.hi.u-tokyo.ac.jp/collection/degitalgallary/ryukyu/item/10160", "https://www.hi.u-tokyo.ac.jp/collection/degitalgallary/ryukyu/item/10160")</f>
        <v/>
      </c>
    </row>
    <row r="162">
      <c r="A162" t="inlineStr">
        <is>
          <t>10161</t>
        </is>
      </c>
      <c r="B162" t="inlineStr">
        <is>
          <t>くらき崎</t>
        </is>
      </c>
      <c r="C162" t="inlineStr">
        <is>
          <t>崎</t>
        </is>
      </c>
      <c r="D162" t="inlineStr">
        <is>
          <t>28.3061867</t>
        </is>
      </c>
      <c r="E162" t="inlineStr">
        <is>
          <t>129.211373</t>
        </is>
      </c>
      <c r="F162" t="inlineStr">
        <is>
          <t>正保琉球国絵図写</t>
        </is>
      </c>
      <c r="G162" t="inlineStr"/>
      <c r="H162" t="inlineStr"/>
      <c r="I162" t="inlineStr">
        <is>
          <t>88</t>
        </is>
      </c>
      <c r="J162" t="inlineStr"/>
      <c r="K162" t="inlineStr">
        <is>
          <t>鹿児島県大島郡宇検村宇検</t>
        </is>
      </c>
      <c r="L162" s="1">
        <f>HYPERLINK("https://www.hi.u-tokyo.ac.jp/collection/degitalgallary/ryukyu/item/10161", "https://www.hi.u-tokyo.ac.jp/collection/degitalgallary/ryukyu/item/10161")</f>
        <v/>
      </c>
    </row>
    <row r="163">
      <c r="A163" t="inlineStr">
        <is>
          <t>10162</t>
        </is>
      </c>
      <c r="B163" t="inlineStr">
        <is>
          <t>いたてく嶋</t>
        </is>
      </c>
      <c r="C163" t="inlineStr">
        <is>
          <t>島</t>
        </is>
      </c>
      <c r="D163" t="inlineStr">
        <is>
          <t>28.2916973</t>
        </is>
      </c>
      <c r="E163" t="inlineStr">
        <is>
          <t>129.1988063</t>
        </is>
      </c>
      <c r="F163" t="inlineStr">
        <is>
          <t>正保琉球国絵図写</t>
        </is>
      </c>
      <c r="G163" t="inlineStr">
        <is>
          <t>人居なし</t>
        </is>
      </c>
      <c r="H163" t="inlineStr"/>
      <c r="I163" t="inlineStr">
        <is>
          <t>89</t>
        </is>
      </c>
      <c r="J163" t="inlineStr"/>
      <c r="K163" t="inlineStr">
        <is>
          <t>鹿児島県大島郡宇検村阿室</t>
        </is>
      </c>
      <c r="L163" s="1">
        <f>HYPERLINK("https://www.hi.u-tokyo.ac.jp/collection/degitalgallary/ryukyu/item/10162", "https://www.hi.u-tokyo.ac.jp/collection/degitalgallary/ryukyu/item/10162")</f>
        <v/>
      </c>
    </row>
    <row r="164">
      <c r="A164" t="inlineStr">
        <is>
          <t>10163</t>
        </is>
      </c>
      <c r="B164" t="inlineStr">
        <is>
          <t>とぐら崎</t>
        </is>
      </c>
      <c r="C164" t="inlineStr">
        <is>
          <t>崎</t>
        </is>
      </c>
      <c r="D164" t="inlineStr">
        <is>
          <t>28.3054368</t>
        </is>
      </c>
      <c r="E164" t="inlineStr">
        <is>
          <t>129.1855812</t>
        </is>
      </c>
      <c r="F164" t="inlineStr">
        <is>
          <t>正保琉球国絵図写</t>
        </is>
      </c>
      <c r="G164" t="inlineStr"/>
      <c r="H164" t="inlineStr"/>
      <c r="I164" t="inlineStr">
        <is>
          <t>90</t>
        </is>
      </c>
      <c r="J164" t="inlineStr"/>
      <c r="K164" t="inlineStr">
        <is>
          <t>鹿児島県大島郡宇検村阿室</t>
        </is>
      </c>
      <c r="L164" s="1">
        <f>HYPERLINK("https://www.hi.u-tokyo.ac.jp/collection/degitalgallary/ryukyu/item/10163", "https://www.hi.u-tokyo.ac.jp/collection/degitalgallary/ryukyu/item/10163")</f>
        <v/>
      </c>
    </row>
    <row r="165">
      <c r="A165" t="inlineStr">
        <is>
          <t>10164</t>
        </is>
      </c>
      <c r="B165" t="inlineStr">
        <is>
          <t>大ひせの崎</t>
        </is>
      </c>
      <c r="C165" t="inlineStr">
        <is>
          <t>崎</t>
        </is>
      </c>
      <c r="D165" t="inlineStr">
        <is>
          <t>28.286792</t>
        </is>
      </c>
      <c r="E165" t="inlineStr">
        <is>
          <t>129.1919584</t>
        </is>
      </c>
      <c r="F165" t="inlineStr">
        <is>
          <t>正保琉球国絵図写</t>
        </is>
      </c>
      <c r="G165" t="inlineStr"/>
      <c r="H165" t="inlineStr"/>
      <c r="I165" t="inlineStr">
        <is>
          <t>91</t>
        </is>
      </c>
      <c r="J165" t="inlineStr"/>
      <c r="K165" t="inlineStr">
        <is>
          <t>鹿児島県大島郡宇検村阿室</t>
        </is>
      </c>
      <c r="L165" s="1">
        <f>HYPERLINK("https://www.hi.u-tokyo.ac.jp/collection/degitalgallary/ryukyu/item/10164", "https://www.hi.u-tokyo.ac.jp/collection/degitalgallary/ryukyu/item/10164")</f>
        <v/>
      </c>
    </row>
    <row r="166">
      <c r="A166" t="inlineStr">
        <is>
          <t>10165</t>
        </is>
      </c>
      <c r="B166" t="inlineStr">
        <is>
          <t>赤崎</t>
        </is>
      </c>
      <c r="C166" t="inlineStr">
        <is>
          <t>崎</t>
        </is>
      </c>
      <c r="D166" t="inlineStr">
        <is>
          <t>28.2848007</t>
        </is>
      </c>
      <c r="E166" t="inlineStr">
        <is>
          <t>129.2205807</t>
        </is>
      </c>
      <c r="F166" t="inlineStr">
        <is>
          <t>正保琉球国絵図写</t>
        </is>
      </c>
      <c r="G166" t="inlineStr"/>
      <c r="H166" t="inlineStr"/>
      <c r="I166" t="inlineStr">
        <is>
          <t>92</t>
        </is>
      </c>
      <c r="J166" t="inlineStr"/>
      <c r="K166" t="inlineStr">
        <is>
          <t>鹿児島県大島郡宇検村久志</t>
        </is>
      </c>
      <c r="L166" s="1">
        <f>HYPERLINK("https://www.hi.u-tokyo.ac.jp/collection/degitalgallary/ryukyu/item/10165", "https://www.hi.u-tokyo.ac.jp/collection/degitalgallary/ryukyu/item/10165")</f>
        <v/>
      </c>
    </row>
    <row r="167">
      <c r="A167" t="inlineStr">
        <is>
          <t>10166</t>
        </is>
      </c>
      <c r="B167" t="inlineStr">
        <is>
          <t>小嶋</t>
        </is>
      </c>
      <c r="C167" t="inlineStr">
        <is>
          <t>その他</t>
        </is>
      </c>
      <c r="D167" t="inlineStr">
        <is>
          <t>28.2949428</t>
        </is>
      </c>
      <c r="E167" t="inlineStr">
        <is>
          <t>129.217361</t>
        </is>
      </c>
      <c r="F167" t="inlineStr">
        <is>
          <t>正保琉球国絵図写</t>
        </is>
      </c>
      <c r="G167" t="inlineStr"/>
      <c r="H167" t="inlineStr"/>
      <c r="I167" t="inlineStr">
        <is>
          <t>93</t>
        </is>
      </c>
      <c r="J167" t="inlineStr"/>
      <c r="K167" t="inlineStr">
        <is>
          <t>鹿児島県大島郡宇検村久志</t>
        </is>
      </c>
      <c r="L167" s="1">
        <f>HYPERLINK("https://www.hi.u-tokyo.ac.jp/collection/degitalgallary/ryukyu/item/10166", "https://www.hi.u-tokyo.ac.jp/collection/degitalgallary/ryukyu/item/10166")</f>
        <v/>
      </c>
    </row>
    <row r="168">
      <c r="A168" t="inlineStr">
        <is>
          <t>10167</t>
        </is>
      </c>
      <c r="B168" t="inlineStr">
        <is>
          <t>ゑお崎</t>
        </is>
      </c>
      <c r="C168" t="inlineStr">
        <is>
          <t>崎</t>
        </is>
      </c>
      <c r="D168" t="inlineStr"/>
      <c r="E168" t="inlineStr"/>
      <c r="F168" t="inlineStr">
        <is>
          <t>正保琉球国絵図写</t>
        </is>
      </c>
      <c r="G168" t="inlineStr"/>
      <c r="H168" t="inlineStr"/>
      <c r="I168" t="inlineStr">
        <is>
          <t>94</t>
        </is>
      </c>
      <c r="J168" t="inlineStr"/>
      <c r="K168" t="inlineStr"/>
      <c r="L168" s="1">
        <f>HYPERLINK("https://www.hi.u-tokyo.ac.jp/collection/degitalgallary/ryukyu/item/10167", "https://www.hi.u-tokyo.ac.jp/collection/degitalgallary/ryukyu/item/10167")</f>
        <v/>
      </c>
    </row>
    <row r="169">
      <c r="A169" t="inlineStr">
        <is>
          <t>10168</t>
        </is>
      </c>
      <c r="B169" t="inlineStr">
        <is>
          <t>もと海の崎</t>
        </is>
      </c>
      <c r="C169" t="inlineStr">
        <is>
          <t>崎</t>
        </is>
      </c>
      <c r="D169" t="inlineStr"/>
      <c r="E169" t="inlineStr"/>
      <c r="F169" t="inlineStr">
        <is>
          <t>正保琉球国絵図写</t>
        </is>
      </c>
      <c r="G169" t="inlineStr"/>
      <c r="H169" t="inlineStr"/>
      <c r="I169" t="inlineStr">
        <is>
          <t>95</t>
        </is>
      </c>
      <c r="J169" t="inlineStr"/>
      <c r="K169" t="inlineStr"/>
      <c r="L169" s="1">
        <f>HYPERLINK("https://www.hi.u-tokyo.ac.jp/collection/degitalgallary/ryukyu/item/10168", "https://www.hi.u-tokyo.ac.jp/collection/degitalgallary/ryukyu/item/10168")</f>
        <v/>
      </c>
    </row>
    <row r="170">
      <c r="A170" t="inlineStr">
        <is>
          <t>10169</t>
        </is>
      </c>
      <c r="B170" t="inlineStr">
        <is>
          <t>ほせ</t>
        </is>
      </c>
      <c r="C170" t="inlineStr">
        <is>
          <t>その他</t>
        </is>
      </c>
      <c r="D170" t="inlineStr"/>
      <c r="E170" t="inlineStr"/>
      <c r="F170" t="inlineStr">
        <is>
          <t>正保琉球国絵図写</t>
        </is>
      </c>
      <c r="G170" t="inlineStr"/>
      <c r="H170" t="inlineStr"/>
      <c r="I170" t="inlineStr">
        <is>
          <t>96</t>
        </is>
      </c>
      <c r="J170" t="inlineStr"/>
      <c r="K170" t="inlineStr"/>
      <c r="L170" s="1">
        <f>HYPERLINK("https://www.hi.u-tokyo.ac.jp/collection/degitalgallary/ryukyu/item/10169", "https://www.hi.u-tokyo.ac.jp/collection/degitalgallary/ryukyu/item/10169")</f>
        <v/>
      </c>
    </row>
    <row r="171">
      <c r="A171" t="inlineStr">
        <is>
          <t>10170</t>
        </is>
      </c>
      <c r="B171" t="inlineStr">
        <is>
          <t>こほれん崎</t>
        </is>
      </c>
      <c r="C171" t="inlineStr">
        <is>
          <t>崎</t>
        </is>
      </c>
      <c r="D171" t="inlineStr">
        <is>
          <t>28.2757994</t>
        </is>
      </c>
      <c r="E171" t="inlineStr">
        <is>
          <t>129.279128</t>
        </is>
      </c>
      <c r="F171" t="inlineStr">
        <is>
          <t>正保琉球国絵図写</t>
        </is>
      </c>
      <c r="G171" t="inlineStr"/>
      <c r="H171" t="inlineStr"/>
      <c r="I171" t="inlineStr">
        <is>
          <t>97</t>
        </is>
      </c>
      <c r="J171" t="inlineStr"/>
      <c r="K171" t="inlineStr">
        <is>
          <t>鹿児島県大島郡宇検村須古</t>
        </is>
      </c>
      <c r="L171" s="1">
        <f>HYPERLINK("https://www.hi.u-tokyo.ac.jp/collection/degitalgallary/ryukyu/item/10170", "https://www.hi.u-tokyo.ac.jp/collection/degitalgallary/ryukyu/item/10170")</f>
        <v/>
      </c>
    </row>
    <row r="172">
      <c r="A172" t="inlineStr">
        <is>
          <t>10171</t>
        </is>
      </c>
      <c r="B172" t="inlineStr">
        <is>
          <t>焼内湊</t>
        </is>
      </c>
      <c r="C172" t="inlineStr">
        <is>
          <t>港湾</t>
        </is>
      </c>
      <c r="D172" t="inlineStr"/>
      <c r="E172" t="inlineStr"/>
      <c r="F172" t="inlineStr">
        <is>
          <t>正保琉球国絵図写</t>
        </is>
      </c>
      <c r="G172" t="inlineStr">
        <is>
          <t>此焼内湊、入三里、広サ三十町、深サ三十尋、船繋リ場何風ニ而も自由、大船弐百艘程繋ル</t>
        </is>
      </c>
      <c r="H172" t="inlineStr"/>
      <c r="I172" t="inlineStr">
        <is>
          <t>98</t>
        </is>
      </c>
      <c r="J172" t="inlineStr"/>
      <c r="K172" t="inlineStr"/>
      <c r="L172" s="1">
        <f>HYPERLINK("https://www.hi.u-tokyo.ac.jp/collection/degitalgallary/ryukyu/item/10171", "https://www.hi.u-tokyo.ac.jp/collection/degitalgallary/ryukyu/item/10171")</f>
        <v/>
      </c>
    </row>
    <row r="173">
      <c r="A173" t="inlineStr">
        <is>
          <t>10172</t>
        </is>
      </c>
      <c r="B173" t="inlineStr">
        <is>
          <t>おり崎</t>
        </is>
      </c>
      <c r="C173" t="inlineStr">
        <is>
          <t>崎</t>
        </is>
      </c>
      <c r="D173" t="inlineStr">
        <is>
          <t>28.2649291</t>
        </is>
      </c>
      <c r="E173" t="inlineStr">
        <is>
          <t>129.2552956</t>
        </is>
      </c>
      <c r="F173" t="inlineStr">
        <is>
          <t>正保琉球国絵図写</t>
        </is>
      </c>
      <c r="G173" t="inlineStr"/>
      <c r="H173" t="inlineStr"/>
      <c r="I173" t="inlineStr">
        <is>
          <t>99</t>
        </is>
      </c>
      <c r="J173" t="inlineStr"/>
      <c r="K173" t="inlineStr">
        <is>
          <t>鹿児島県大島郡宇検村名柄</t>
        </is>
      </c>
      <c r="L173" s="1">
        <f>HYPERLINK("https://www.hi.u-tokyo.ac.jp/collection/degitalgallary/ryukyu/item/10172", "https://www.hi.u-tokyo.ac.jp/collection/degitalgallary/ryukyu/item/10172")</f>
        <v/>
      </c>
    </row>
    <row r="174">
      <c r="A174" t="inlineStr">
        <is>
          <t>10173</t>
        </is>
      </c>
      <c r="B174" t="inlineStr">
        <is>
          <t>白田崎</t>
        </is>
      </c>
      <c r="C174" t="inlineStr">
        <is>
          <t>崎</t>
        </is>
      </c>
      <c r="D174" t="inlineStr">
        <is>
          <t>28.266926</t>
        </is>
      </c>
      <c r="E174" t="inlineStr">
        <is>
          <t>129.2431216</t>
        </is>
      </c>
      <c r="F174" t="inlineStr">
        <is>
          <t>正保琉球国絵図写</t>
        </is>
      </c>
      <c r="G174" t="inlineStr"/>
      <c r="H174" t="inlineStr"/>
      <c r="I174" t="inlineStr">
        <is>
          <t>100</t>
        </is>
      </c>
      <c r="J174" t="inlineStr"/>
      <c r="K174" t="inlineStr">
        <is>
          <t>鹿児島県大島郡宇検村佐念</t>
        </is>
      </c>
      <c r="L174" s="1">
        <f>HYPERLINK("https://www.hi.u-tokyo.ac.jp/collection/degitalgallary/ryukyu/item/10173", "https://www.hi.u-tokyo.ac.jp/collection/degitalgallary/ryukyu/item/10173")</f>
        <v/>
      </c>
    </row>
    <row r="175">
      <c r="A175" t="inlineStr">
        <is>
          <t>10174</t>
        </is>
      </c>
      <c r="B175" t="inlineStr">
        <is>
          <t>大だへん崎</t>
        </is>
      </c>
      <c r="C175" t="inlineStr">
        <is>
          <t>崎</t>
        </is>
      </c>
      <c r="D175" t="inlineStr">
        <is>
          <t>28.2692137</t>
        </is>
      </c>
      <c r="E175" t="inlineStr">
        <is>
          <t>129.2141101</t>
        </is>
      </c>
      <c r="F175" t="inlineStr">
        <is>
          <t>正保琉球国絵図写</t>
        </is>
      </c>
      <c r="G175" t="inlineStr"/>
      <c r="H175" t="inlineStr"/>
      <c r="I175" t="inlineStr">
        <is>
          <t>101</t>
        </is>
      </c>
      <c r="J175" t="inlineStr"/>
      <c r="K175" t="inlineStr">
        <is>
          <t>鹿児島県大島郡宇検村平田</t>
        </is>
      </c>
      <c r="L175" s="1">
        <f>HYPERLINK("https://www.hi.u-tokyo.ac.jp/collection/degitalgallary/ryukyu/item/10174", "https://www.hi.u-tokyo.ac.jp/collection/degitalgallary/ryukyu/item/10174")</f>
        <v/>
      </c>
    </row>
    <row r="176">
      <c r="A176" t="inlineStr">
        <is>
          <t>10175</t>
        </is>
      </c>
      <c r="B176" t="inlineStr">
        <is>
          <t>宮崎</t>
        </is>
      </c>
      <c r="C176" t="inlineStr">
        <is>
          <t>崎</t>
        </is>
      </c>
      <c r="D176" t="inlineStr">
        <is>
          <t>28.261969</t>
        </is>
      </c>
      <c r="E176" t="inlineStr">
        <is>
          <t>129.1991499</t>
        </is>
      </c>
      <c r="F176" t="inlineStr">
        <is>
          <t>正保琉球国絵図写</t>
        </is>
      </c>
      <c r="G176" t="inlineStr"/>
      <c r="H176" t="inlineStr"/>
      <c r="I176" t="inlineStr">
        <is>
          <t>102</t>
        </is>
      </c>
      <c r="J176" t="inlineStr"/>
      <c r="K176" t="inlineStr">
        <is>
          <t>鹿児島県大島郡宇検村阿室</t>
        </is>
      </c>
      <c r="L176" s="1">
        <f>HYPERLINK("https://www.hi.u-tokyo.ac.jp/collection/degitalgallary/ryukyu/item/10175", "https://www.hi.u-tokyo.ac.jp/collection/degitalgallary/ryukyu/item/10175")</f>
        <v/>
      </c>
    </row>
    <row r="177">
      <c r="A177" t="inlineStr">
        <is>
          <t>10176</t>
        </is>
      </c>
      <c r="B177" t="inlineStr">
        <is>
          <t>やとん崎</t>
        </is>
      </c>
      <c r="C177" t="inlineStr">
        <is>
          <t>崎</t>
        </is>
      </c>
      <c r="D177" t="inlineStr">
        <is>
          <t>28.2698368</t>
        </is>
      </c>
      <c r="E177" t="inlineStr">
        <is>
          <t>129.181532</t>
        </is>
      </c>
      <c r="F177" t="inlineStr">
        <is>
          <t>正保琉球国絵図写</t>
        </is>
      </c>
      <c r="G177" t="inlineStr"/>
      <c r="H177" t="inlineStr"/>
      <c r="I177" t="inlineStr">
        <is>
          <t>103</t>
        </is>
      </c>
      <c r="J177" t="inlineStr"/>
      <c r="K177" t="inlineStr">
        <is>
          <t>鹿児島県大島郡宇検村屋鈍</t>
        </is>
      </c>
      <c r="L177" s="1">
        <f>HYPERLINK("https://www.hi.u-tokyo.ac.jp/collection/degitalgallary/ryukyu/item/10176", "https://www.hi.u-tokyo.ac.jp/collection/degitalgallary/ryukyu/item/10176")</f>
        <v/>
      </c>
    </row>
    <row r="178">
      <c r="A178" t="inlineStr">
        <is>
          <t>10177</t>
        </is>
      </c>
      <c r="B178" t="inlineStr">
        <is>
          <t>焼内湊より西之古見湊迄、海上三里</t>
        </is>
      </c>
      <c r="C178" t="inlineStr">
        <is>
          <t>航路</t>
        </is>
      </c>
      <c r="D178" t="inlineStr"/>
      <c r="E178" t="inlineStr"/>
      <c r="F178" t="inlineStr">
        <is>
          <t>正保琉球国絵図写</t>
        </is>
      </c>
      <c r="G178" t="inlineStr"/>
      <c r="H178" t="inlineStr"/>
      <c r="I178" t="inlineStr">
        <is>
          <t>104</t>
        </is>
      </c>
      <c r="J178" t="inlineStr"/>
      <c r="K178" t="inlineStr"/>
      <c r="L178" s="1">
        <f>HYPERLINK("https://www.hi.u-tokyo.ac.jp/collection/degitalgallary/ryukyu/item/10177", "https://www.hi.u-tokyo.ac.jp/collection/degitalgallary/ryukyu/item/10177")</f>
        <v/>
      </c>
    </row>
    <row r="179">
      <c r="A179" t="inlineStr">
        <is>
          <t>10178</t>
        </is>
      </c>
      <c r="B179" t="inlineStr">
        <is>
          <t>とのはら</t>
        </is>
      </c>
      <c r="C179" t="inlineStr">
        <is>
          <t>その他</t>
        </is>
      </c>
      <c r="D179" t="inlineStr">
        <is>
          <t>28.254108</t>
        </is>
      </c>
      <c r="E179" t="inlineStr">
        <is>
          <t>129.134148</t>
        </is>
      </c>
      <c r="F179" t="inlineStr">
        <is>
          <t>正保琉球国絵図写</t>
        </is>
      </c>
      <c r="G179" t="inlineStr"/>
      <c r="H179" t="inlineStr"/>
      <c r="I179" t="inlineStr">
        <is>
          <t>105</t>
        </is>
      </c>
      <c r="J179" t="inlineStr"/>
      <c r="K179" t="inlineStr">
        <is>
          <t>鹿児島県大島郡瀬戸内町西古見</t>
        </is>
      </c>
      <c r="L179" s="1">
        <f>HYPERLINK("https://www.hi.u-tokyo.ac.jp/collection/degitalgallary/ryukyu/item/10178", "https://www.hi.u-tokyo.ac.jp/collection/degitalgallary/ryukyu/item/10178")</f>
        <v/>
      </c>
    </row>
    <row r="180">
      <c r="A180" t="inlineStr">
        <is>
          <t>10179</t>
        </is>
      </c>
      <c r="B180" t="inlineStr">
        <is>
          <t>そつかうのおかみ</t>
        </is>
      </c>
      <c r="C180" t="inlineStr">
        <is>
          <t>その他</t>
        </is>
      </c>
      <c r="D180" t="inlineStr">
        <is>
          <t>28.2510564</t>
        </is>
      </c>
      <c r="E180" t="inlineStr">
        <is>
          <t>129.1476098</t>
        </is>
      </c>
      <c r="F180" t="inlineStr">
        <is>
          <t>正保琉球国絵図写</t>
        </is>
      </c>
      <c r="G180" t="inlineStr"/>
      <c r="H180" t="inlineStr"/>
      <c r="I180" t="inlineStr">
        <is>
          <t>106</t>
        </is>
      </c>
      <c r="J180" t="inlineStr"/>
      <c r="K180" t="inlineStr">
        <is>
          <t>鹿児島県大島郡瀬戸内町西古見</t>
        </is>
      </c>
      <c r="L180" s="1">
        <f>HYPERLINK("https://www.hi.u-tokyo.ac.jp/collection/degitalgallary/ryukyu/item/10179", "https://www.hi.u-tokyo.ac.jp/collection/degitalgallary/ryukyu/item/10179")</f>
        <v/>
      </c>
    </row>
    <row r="181">
      <c r="A181" t="inlineStr">
        <is>
          <t>10180</t>
        </is>
      </c>
      <c r="B181" t="inlineStr">
        <is>
          <t>ゑらふ瀬</t>
        </is>
      </c>
      <c r="C181" t="inlineStr">
        <is>
          <t>干瀬</t>
        </is>
      </c>
      <c r="D181" t="inlineStr">
        <is>
          <t>28.2382311</t>
        </is>
      </c>
      <c r="E181" t="inlineStr">
        <is>
          <t>129.1563387</t>
        </is>
      </c>
      <c r="F181" t="inlineStr">
        <is>
          <t>正保琉球国絵図写</t>
        </is>
      </c>
      <c r="G181" t="inlineStr"/>
      <c r="H181" t="inlineStr"/>
      <c r="I181" t="inlineStr">
        <is>
          <t>107</t>
        </is>
      </c>
      <c r="J181" t="inlineStr"/>
      <c r="K181" t="inlineStr">
        <is>
          <t>鹿児島県大島郡瀬戸内町西古見</t>
        </is>
      </c>
      <c r="L181" s="1">
        <f>HYPERLINK("https://www.hi.u-tokyo.ac.jp/collection/degitalgallary/ryukyu/item/10180", "https://www.hi.u-tokyo.ac.jp/collection/degitalgallary/ryukyu/item/10180")</f>
        <v/>
      </c>
    </row>
    <row r="182">
      <c r="A182" t="inlineStr">
        <is>
          <t>10181</t>
        </is>
      </c>
      <c r="B182" t="inlineStr">
        <is>
          <t>奥立神</t>
        </is>
      </c>
      <c r="C182" t="inlineStr">
        <is>
          <t>その他</t>
        </is>
      </c>
      <c r="D182" t="inlineStr">
        <is>
          <t>28.228794</t>
        </is>
      </c>
      <c r="E182" t="inlineStr">
        <is>
          <t>129.1625479</t>
        </is>
      </c>
      <c r="F182" t="inlineStr">
        <is>
          <t>正保琉球国絵図写</t>
        </is>
      </c>
      <c r="G182" t="inlineStr"/>
      <c r="H182" t="inlineStr"/>
      <c r="I182" t="inlineStr">
        <is>
          <t>108</t>
        </is>
      </c>
      <c r="J182" t="inlineStr"/>
      <c r="K182" t="inlineStr">
        <is>
          <t>鹿児島県大島郡瀬戸内町西古見</t>
        </is>
      </c>
      <c r="L182" s="1">
        <f>HYPERLINK("https://www.hi.u-tokyo.ac.jp/collection/degitalgallary/ryukyu/item/10181", "https://www.hi.u-tokyo.ac.jp/collection/degitalgallary/ryukyu/item/10181")</f>
        <v/>
      </c>
    </row>
    <row r="183">
      <c r="A183" t="inlineStr">
        <is>
          <t>10182</t>
        </is>
      </c>
      <c r="B183" t="inlineStr">
        <is>
          <t>此西之古見湊、入五拾間、広サ三十間、深さ三拾壱尋、大船四五艘程繋ル、南風ニ船かゝり不成</t>
        </is>
      </c>
      <c r="C183" t="inlineStr">
        <is>
          <t>港湾</t>
        </is>
      </c>
      <c r="D183" t="inlineStr"/>
      <c r="E183" t="inlineStr"/>
      <c r="F183" t="inlineStr">
        <is>
          <t>正保琉球国絵図写</t>
        </is>
      </c>
      <c r="G183" t="inlineStr"/>
      <c r="H183" t="inlineStr"/>
      <c r="I183" t="inlineStr">
        <is>
          <t>109</t>
        </is>
      </c>
      <c r="J183" t="inlineStr"/>
      <c r="K183" t="inlineStr"/>
      <c r="L183" s="1">
        <f>HYPERLINK("https://www.hi.u-tokyo.ac.jp/collection/degitalgallary/ryukyu/item/10182", "https://www.hi.u-tokyo.ac.jp/collection/degitalgallary/ryukyu/item/10182")</f>
        <v/>
      </c>
    </row>
    <row r="184">
      <c r="A184" t="inlineStr">
        <is>
          <t>10183</t>
        </is>
      </c>
      <c r="B184" t="inlineStr">
        <is>
          <t>通り瀬</t>
        </is>
      </c>
      <c r="C184" t="inlineStr">
        <is>
          <t>干瀬</t>
        </is>
      </c>
      <c r="D184" t="inlineStr">
        <is>
          <t>28.2282331</t>
        </is>
      </c>
      <c r="E184" t="inlineStr">
        <is>
          <t>129.1736158</t>
        </is>
      </c>
      <c r="F184" t="inlineStr">
        <is>
          <t>正保琉球国絵図写</t>
        </is>
      </c>
      <c r="G184" t="inlineStr"/>
      <c r="H184" t="inlineStr"/>
      <c r="I184" t="inlineStr">
        <is>
          <t>110</t>
        </is>
      </c>
      <c r="J184" t="inlineStr"/>
      <c r="K184" t="inlineStr">
        <is>
          <t>鹿児島県大島郡瀬戸内町西古見</t>
        </is>
      </c>
      <c r="L184" s="1">
        <f>HYPERLINK("https://www.hi.u-tokyo.ac.jp/collection/degitalgallary/ryukyu/item/10183", "https://www.hi.u-tokyo.ac.jp/collection/degitalgallary/ryukyu/item/10183")</f>
        <v/>
      </c>
    </row>
    <row r="185">
      <c r="A185" t="inlineStr">
        <is>
          <t>10184</t>
        </is>
      </c>
      <c r="B185" t="inlineStr">
        <is>
          <t>赤瀬</t>
        </is>
      </c>
      <c r="C185" t="inlineStr">
        <is>
          <t>干瀬</t>
        </is>
      </c>
      <c r="D185" t="inlineStr">
        <is>
          <t>28.2049967</t>
        </is>
      </c>
      <c r="E185" t="inlineStr">
        <is>
          <t>129.1508582</t>
        </is>
      </c>
      <c r="F185" t="inlineStr">
        <is>
          <t>正保琉球国絵図写</t>
        </is>
      </c>
      <c r="G185" t="inlineStr"/>
      <c r="H185" t="inlineStr"/>
      <c r="I185" t="inlineStr">
        <is>
          <t>111</t>
        </is>
      </c>
      <c r="J185" t="inlineStr"/>
      <c r="K185" t="inlineStr">
        <is>
          <t>鹿児島県大島郡瀬戸内町実久</t>
        </is>
      </c>
      <c r="L185" s="1">
        <f>HYPERLINK("https://www.hi.u-tokyo.ac.jp/collection/degitalgallary/ryukyu/item/10184", "https://www.hi.u-tokyo.ac.jp/collection/degitalgallary/ryukyu/item/10184")</f>
        <v/>
      </c>
    </row>
    <row r="186">
      <c r="A186" t="inlineStr">
        <is>
          <t>10185</t>
        </is>
      </c>
      <c r="B186" t="inlineStr">
        <is>
          <t>ゑたな</t>
        </is>
      </c>
      <c r="C186" t="inlineStr">
        <is>
          <t>その他</t>
        </is>
      </c>
      <c r="D186" t="inlineStr">
        <is>
          <t>28.2255721</t>
        </is>
      </c>
      <c r="E186" t="inlineStr">
        <is>
          <t>129.1872403</t>
        </is>
      </c>
      <c r="F186" t="inlineStr">
        <is>
          <t>正保琉球国絵図写</t>
        </is>
      </c>
      <c r="G186" t="inlineStr"/>
      <c r="H186" t="inlineStr"/>
      <c r="I186" t="inlineStr">
        <is>
          <t>112</t>
        </is>
      </c>
      <c r="J186" t="inlineStr"/>
      <c r="K186" t="inlineStr">
        <is>
          <t>鹿児島県大島郡瀬戸内町管鈍</t>
        </is>
      </c>
      <c r="L186" s="1">
        <f>HYPERLINK("https://www.hi.u-tokyo.ac.jp/collection/degitalgallary/ryukyu/item/10185", "https://www.hi.u-tokyo.ac.jp/collection/degitalgallary/ryukyu/item/10185")</f>
        <v/>
      </c>
    </row>
    <row r="187">
      <c r="A187" t="inlineStr">
        <is>
          <t>10186</t>
        </is>
      </c>
      <c r="B187" t="inlineStr">
        <is>
          <t>通り瀬</t>
        </is>
      </c>
      <c r="C187" t="inlineStr">
        <is>
          <t>干瀬</t>
        </is>
      </c>
      <c r="D187" t="inlineStr">
        <is>
          <t>28.2286891</t>
        </is>
      </c>
      <c r="E187" t="inlineStr">
        <is>
          <t>129.194498</t>
        </is>
      </c>
      <c r="F187" t="inlineStr">
        <is>
          <t>正保琉球国絵図写</t>
        </is>
      </c>
      <c r="G187" t="inlineStr"/>
      <c r="H187" t="inlineStr"/>
      <c r="I187" t="inlineStr">
        <is>
          <t>113</t>
        </is>
      </c>
      <c r="J187" t="inlineStr"/>
      <c r="K187" t="inlineStr">
        <is>
          <t>鹿児島県大島郡瀬戸内町管鈍</t>
        </is>
      </c>
      <c r="L187" s="1">
        <f>HYPERLINK("https://www.hi.u-tokyo.ac.jp/collection/degitalgallary/ryukyu/item/10186", "https://www.hi.u-tokyo.ac.jp/collection/degitalgallary/ryukyu/item/10186")</f>
        <v/>
      </c>
    </row>
    <row r="188">
      <c r="A188" t="inlineStr">
        <is>
          <t>10187</t>
        </is>
      </c>
      <c r="B188" t="inlineStr">
        <is>
          <t>玉のうら崎</t>
        </is>
      </c>
      <c r="C188" t="inlineStr">
        <is>
          <t>崎</t>
        </is>
      </c>
      <c r="D188" t="inlineStr">
        <is>
          <t>28.2207737</t>
        </is>
      </c>
      <c r="E188" t="inlineStr">
        <is>
          <t>129.2114463</t>
        </is>
      </c>
      <c r="F188" t="inlineStr">
        <is>
          <t>正保琉球国絵図写</t>
        </is>
      </c>
      <c r="G188" t="inlineStr"/>
      <c r="H188" t="inlineStr"/>
      <c r="I188" t="inlineStr">
        <is>
          <t>114</t>
        </is>
      </c>
      <c r="J188" t="inlineStr"/>
      <c r="K188" t="inlineStr">
        <is>
          <t>鹿児島県大島郡瀬戸内町花天</t>
        </is>
      </c>
      <c r="L188" s="1">
        <f>HYPERLINK("https://www.hi.u-tokyo.ac.jp/collection/degitalgallary/ryukyu/item/10187", "https://www.hi.u-tokyo.ac.jp/collection/degitalgallary/ryukyu/item/10187")</f>
        <v/>
      </c>
    </row>
    <row r="189">
      <c r="A189" t="inlineStr">
        <is>
          <t>10188</t>
        </is>
      </c>
      <c r="B189" t="inlineStr">
        <is>
          <t>一ツ玉</t>
        </is>
      </c>
      <c r="C189" t="inlineStr">
        <is>
          <t>その他</t>
        </is>
      </c>
      <c r="D189" t="inlineStr">
        <is>
          <t>28.220865</t>
        </is>
      </c>
      <c r="E189" t="inlineStr">
        <is>
          <t>129.2286854</t>
        </is>
      </c>
      <c r="F189" t="inlineStr">
        <is>
          <t>正保琉球国絵図写</t>
        </is>
      </c>
      <c r="G189" t="inlineStr"/>
      <c r="H189" t="inlineStr"/>
      <c r="I189" t="inlineStr">
        <is>
          <t>115</t>
        </is>
      </c>
      <c r="J189" t="inlineStr"/>
      <c r="K189" t="inlineStr">
        <is>
          <t>鹿児島県大島郡瀬戸内町花天</t>
        </is>
      </c>
      <c r="L189" s="1">
        <f>HYPERLINK("https://www.hi.u-tokyo.ac.jp/collection/degitalgallary/ryukyu/item/10188", "https://www.hi.u-tokyo.ac.jp/collection/degitalgallary/ryukyu/item/10188")</f>
        <v/>
      </c>
    </row>
    <row r="190">
      <c r="A190" t="inlineStr">
        <is>
          <t>10189</t>
        </is>
      </c>
      <c r="B190" t="inlineStr">
        <is>
          <t>あふねの崎</t>
        </is>
      </c>
      <c r="C190" t="inlineStr">
        <is>
          <t>崎</t>
        </is>
      </c>
      <c r="D190" t="inlineStr">
        <is>
          <t>28.2075948</t>
        </is>
      </c>
      <c r="E190" t="inlineStr">
        <is>
          <t>129.253447</t>
        </is>
      </c>
      <c r="F190" t="inlineStr">
        <is>
          <t>正保琉球国絵図写</t>
        </is>
      </c>
      <c r="G190" t="inlineStr"/>
      <c r="H190" t="inlineStr"/>
      <c r="I190" t="inlineStr">
        <is>
          <t>116</t>
        </is>
      </c>
      <c r="J190" t="inlineStr"/>
      <c r="K190" t="inlineStr">
        <is>
          <t>鹿児島県大島郡瀬戸内町久慈</t>
        </is>
      </c>
      <c r="L190" s="1">
        <f>HYPERLINK("https://www.hi.u-tokyo.ac.jp/collection/degitalgallary/ryukyu/item/10189", "https://www.hi.u-tokyo.ac.jp/collection/degitalgallary/ryukyu/item/10189")</f>
        <v/>
      </c>
    </row>
    <row r="191">
      <c r="A191" t="inlineStr">
        <is>
          <t>10190</t>
        </is>
      </c>
      <c r="B191" t="inlineStr">
        <is>
          <t>長ひちや</t>
        </is>
      </c>
      <c r="C191" t="inlineStr">
        <is>
          <t>その他</t>
        </is>
      </c>
      <c r="D191" t="inlineStr">
        <is>
          <t>28.2280101</t>
        </is>
      </c>
      <c r="E191" t="inlineStr">
        <is>
          <t>129.2641474</t>
        </is>
      </c>
      <c r="F191" t="inlineStr">
        <is>
          <t>正保琉球国絵図写</t>
        </is>
      </c>
      <c r="G191" t="inlineStr"/>
      <c r="H191" t="inlineStr"/>
      <c r="I191" t="inlineStr">
        <is>
          <t>117</t>
        </is>
      </c>
      <c r="J191" t="inlineStr"/>
      <c r="K191" t="inlineStr">
        <is>
          <t>鹿児島県大島郡瀬戸内町古志</t>
        </is>
      </c>
      <c r="L191" s="1">
        <f>HYPERLINK("https://www.hi.u-tokyo.ac.jp/collection/degitalgallary/ryukyu/item/10190", "https://www.hi.u-tokyo.ac.jp/collection/degitalgallary/ryukyu/item/10190")</f>
        <v/>
      </c>
    </row>
    <row r="192">
      <c r="A192" t="inlineStr">
        <is>
          <t>10191</t>
        </is>
      </c>
      <c r="B192" t="inlineStr">
        <is>
          <t>長崎</t>
        </is>
      </c>
      <c r="C192" t="inlineStr">
        <is>
          <t>崎</t>
        </is>
      </c>
      <c r="D192" t="inlineStr">
        <is>
          <t>28.2303848</t>
        </is>
      </c>
      <c r="E192" t="inlineStr">
        <is>
          <t>129.2697372</t>
        </is>
      </c>
      <c r="F192" t="inlineStr">
        <is>
          <t>正保琉球国絵図写</t>
        </is>
      </c>
      <c r="G192" t="inlineStr"/>
      <c r="H192" t="inlineStr"/>
      <c r="I192" t="inlineStr">
        <is>
          <t>118</t>
        </is>
      </c>
      <c r="J192" t="inlineStr"/>
      <c r="K192" t="inlineStr">
        <is>
          <t>鹿児島県大島郡瀬戸内町古志</t>
        </is>
      </c>
      <c r="L192" s="1">
        <f>HYPERLINK("https://www.hi.u-tokyo.ac.jp/collection/degitalgallary/ryukyu/item/10191", "https://www.hi.u-tokyo.ac.jp/collection/degitalgallary/ryukyu/item/10191")</f>
        <v/>
      </c>
    </row>
    <row r="193">
      <c r="A193" t="inlineStr">
        <is>
          <t>10192</t>
        </is>
      </c>
      <c r="B193" t="inlineStr">
        <is>
          <t>さかい崎</t>
        </is>
      </c>
      <c r="C193" t="inlineStr">
        <is>
          <t>崎</t>
        </is>
      </c>
      <c r="D193" t="inlineStr">
        <is>
          <t>28.2169185</t>
        </is>
      </c>
      <c r="E193" t="inlineStr">
        <is>
          <t>129.2661437</t>
        </is>
      </c>
      <c r="F193" t="inlineStr">
        <is>
          <t>正保琉球国絵図写</t>
        </is>
      </c>
      <c r="G193" t="inlineStr"/>
      <c r="H193" t="inlineStr"/>
      <c r="I193" t="inlineStr">
        <is>
          <t>119</t>
        </is>
      </c>
      <c r="J193" t="inlineStr"/>
      <c r="K193" t="inlineStr">
        <is>
          <t>鹿児島県大島郡瀬戸内町古志</t>
        </is>
      </c>
      <c r="L193" s="1">
        <f>HYPERLINK("https://www.hi.u-tokyo.ac.jp/collection/degitalgallary/ryukyu/item/10192", "https://www.hi.u-tokyo.ac.jp/collection/degitalgallary/ryukyu/item/10192")</f>
        <v/>
      </c>
    </row>
    <row r="194">
      <c r="A194" t="inlineStr">
        <is>
          <t>10193</t>
        </is>
      </c>
      <c r="B194" t="inlineStr">
        <is>
          <t>しよんま崎</t>
        </is>
      </c>
      <c r="C194" t="inlineStr">
        <is>
          <t>崎</t>
        </is>
      </c>
      <c r="D194" t="inlineStr">
        <is>
          <t>28.2218604</t>
        </is>
      </c>
      <c r="E194" t="inlineStr">
        <is>
          <t>129.2915732</t>
        </is>
      </c>
      <c r="F194" t="inlineStr">
        <is>
          <t>正保琉球国絵図写</t>
        </is>
      </c>
      <c r="G194" t="inlineStr"/>
      <c r="H194" t="inlineStr"/>
      <c r="I194" t="inlineStr">
        <is>
          <t>120</t>
        </is>
      </c>
      <c r="J194" t="inlineStr"/>
      <c r="K194" t="inlineStr">
        <is>
          <t>鹿児島県大島郡瀬戸内町篠川</t>
        </is>
      </c>
      <c r="L194" s="1">
        <f>HYPERLINK("https://www.hi.u-tokyo.ac.jp/collection/degitalgallary/ryukyu/item/10193", "https://www.hi.u-tokyo.ac.jp/collection/degitalgallary/ryukyu/item/10193")</f>
        <v/>
      </c>
    </row>
    <row r="195">
      <c r="A195" t="inlineStr">
        <is>
          <t>10194</t>
        </is>
      </c>
      <c r="B195" t="inlineStr">
        <is>
          <t>宮田崎</t>
        </is>
      </c>
      <c r="C195" t="inlineStr">
        <is>
          <t>崎</t>
        </is>
      </c>
      <c r="D195" t="inlineStr">
        <is>
          <t>28.2167373</t>
        </is>
      </c>
      <c r="E195" t="inlineStr">
        <is>
          <t>129.2864406</t>
        </is>
      </c>
      <c r="F195" t="inlineStr">
        <is>
          <t>正保琉球国絵図写</t>
        </is>
      </c>
      <c r="G195" t="inlineStr"/>
      <c r="H195" t="inlineStr"/>
      <c r="I195" t="inlineStr">
        <is>
          <t>121</t>
        </is>
      </c>
      <c r="J195" t="inlineStr"/>
      <c r="K195" t="inlineStr">
        <is>
          <t>鹿児島県大島郡瀬戸内町阿室釜</t>
        </is>
      </c>
      <c r="L195" s="1">
        <f>HYPERLINK("https://www.hi.u-tokyo.ac.jp/collection/degitalgallary/ryukyu/item/10194", "https://www.hi.u-tokyo.ac.jp/collection/degitalgallary/ryukyu/item/10194")</f>
        <v/>
      </c>
    </row>
    <row r="196">
      <c r="A196" t="inlineStr">
        <is>
          <t>10195</t>
        </is>
      </c>
      <c r="B196" t="inlineStr">
        <is>
          <t>つはく崎</t>
        </is>
      </c>
      <c r="C196" t="inlineStr">
        <is>
          <t>崎</t>
        </is>
      </c>
      <c r="D196" t="inlineStr">
        <is>
          <t>28.1842622</t>
        </is>
      </c>
      <c r="E196" t="inlineStr">
        <is>
          <t>129.2635209</t>
        </is>
      </c>
      <c r="F196" t="inlineStr">
        <is>
          <t>正保琉球国絵図写</t>
        </is>
      </c>
      <c r="G196" t="inlineStr"/>
      <c r="H196" t="inlineStr"/>
      <c r="I196" t="inlineStr">
        <is>
          <t>122</t>
        </is>
      </c>
      <c r="J196" t="inlineStr"/>
      <c r="K196" t="inlineStr">
        <is>
          <t>鹿児島県大島郡瀬戸内町阿室釜</t>
        </is>
      </c>
      <c r="L196" s="1">
        <f>HYPERLINK("https://www.hi.u-tokyo.ac.jp/collection/degitalgallary/ryukyu/item/10195", "https://www.hi.u-tokyo.ac.jp/collection/degitalgallary/ryukyu/item/10195")</f>
        <v/>
      </c>
    </row>
    <row r="197">
      <c r="A197" t="inlineStr">
        <is>
          <t>10196</t>
        </is>
      </c>
      <c r="B197" t="inlineStr">
        <is>
          <t>あだんけ崎</t>
        </is>
      </c>
      <c r="C197" t="inlineStr">
        <is>
          <t>崎</t>
        </is>
      </c>
      <c r="D197" t="inlineStr">
        <is>
          <t>28.1831287</t>
        </is>
      </c>
      <c r="E197" t="inlineStr">
        <is>
          <t>129.2739289</t>
        </is>
      </c>
      <c r="F197" t="inlineStr">
        <is>
          <t>正保琉球国絵図写</t>
        </is>
      </c>
      <c r="G197" t="inlineStr"/>
      <c r="H197" t="inlineStr"/>
      <c r="I197" t="inlineStr">
        <is>
          <t>123</t>
        </is>
      </c>
      <c r="J197" t="inlineStr"/>
      <c r="K197" t="inlineStr">
        <is>
          <t>鹿児島県大島郡瀬戸内町小名瀬</t>
        </is>
      </c>
      <c r="L197" s="1">
        <f>HYPERLINK("https://www.hi.u-tokyo.ac.jp/collection/degitalgallary/ryukyu/item/10196", "https://www.hi.u-tokyo.ac.jp/collection/degitalgallary/ryukyu/item/10196")</f>
        <v/>
      </c>
    </row>
    <row r="198">
      <c r="A198" t="inlineStr">
        <is>
          <t>10197</t>
        </is>
      </c>
      <c r="B198" t="inlineStr">
        <is>
          <t>なん崎</t>
        </is>
      </c>
      <c r="C198" t="inlineStr">
        <is>
          <t>崎</t>
        </is>
      </c>
      <c r="D198" t="inlineStr">
        <is>
          <t>28.1892498</t>
        </is>
      </c>
      <c r="E198" t="inlineStr">
        <is>
          <t>129.2852571</t>
        </is>
      </c>
      <c r="F198" t="inlineStr">
        <is>
          <t>正保琉球国絵図写</t>
        </is>
      </c>
      <c r="G198" t="inlineStr"/>
      <c r="H198" t="inlineStr"/>
      <c r="I198" t="inlineStr">
        <is>
          <t>124</t>
        </is>
      </c>
      <c r="J198" t="inlineStr"/>
      <c r="K198" t="inlineStr">
        <is>
          <t>鹿児島県大島郡瀬戸内町小名瀬</t>
        </is>
      </c>
      <c r="L198" s="1">
        <f>HYPERLINK("https://www.hi.u-tokyo.ac.jp/collection/degitalgallary/ryukyu/item/10197", "https://www.hi.u-tokyo.ac.jp/collection/degitalgallary/ryukyu/item/10197")</f>
        <v/>
      </c>
    </row>
    <row r="199">
      <c r="A199" t="inlineStr">
        <is>
          <t>10198</t>
        </is>
      </c>
      <c r="B199" t="inlineStr">
        <is>
          <t>ゆい崎</t>
        </is>
      </c>
      <c r="C199" t="inlineStr">
        <is>
          <t>崎</t>
        </is>
      </c>
      <c r="D199" t="inlineStr">
        <is>
          <t>28.1782971</t>
        </is>
      </c>
      <c r="E199" t="inlineStr">
        <is>
          <t>129.2830391</t>
        </is>
      </c>
      <c r="F199" t="inlineStr">
        <is>
          <t>正保琉球国絵図写</t>
        </is>
      </c>
      <c r="G199" t="inlineStr"/>
      <c r="H199" t="inlineStr"/>
      <c r="I199" t="inlineStr">
        <is>
          <t>125</t>
        </is>
      </c>
      <c r="J199" t="inlineStr"/>
      <c r="K199" t="inlineStr">
        <is>
          <t>鹿児島県大島郡瀬戸内町阿鉄</t>
        </is>
      </c>
      <c r="L199" s="1">
        <f>HYPERLINK("https://www.hi.u-tokyo.ac.jp/collection/degitalgallary/ryukyu/item/10198", "https://www.hi.u-tokyo.ac.jp/collection/degitalgallary/ryukyu/item/10198")</f>
        <v/>
      </c>
    </row>
    <row r="200">
      <c r="A200" t="inlineStr">
        <is>
          <t>10199</t>
        </is>
      </c>
      <c r="B200" t="inlineStr">
        <is>
          <t>ゆい小嶋</t>
        </is>
      </c>
      <c r="C200" t="inlineStr">
        <is>
          <t>その他</t>
        </is>
      </c>
      <c r="D200" t="inlineStr">
        <is>
          <t>28.1741838</t>
        </is>
      </c>
      <c r="E200" t="inlineStr">
        <is>
          <t>129.2791929</t>
        </is>
      </c>
      <c r="F200" t="inlineStr">
        <is>
          <t>正保琉球国絵図写</t>
        </is>
      </c>
      <c r="G200" t="inlineStr"/>
      <c r="H200" t="inlineStr"/>
      <c r="I200" t="inlineStr">
        <is>
          <t>126</t>
        </is>
      </c>
      <c r="J200" t="inlineStr"/>
      <c r="K200" t="inlineStr">
        <is>
          <t>鹿児島県大島郡瀬戸内町阿鉄</t>
        </is>
      </c>
      <c r="L200" s="1">
        <f>HYPERLINK("https://www.hi.u-tokyo.ac.jp/collection/degitalgallary/ryukyu/item/10199", "https://www.hi.u-tokyo.ac.jp/collection/degitalgallary/ryukyu/item/10199")</f>
        <v/>
      </c>
    </row>
    <row r="201">
      <c r="A201" t="inlineStr">
        <is>
          <t>10200</t>
        </is>
      </c>
      <c r="B201" t="inlineStr">
        <is>
          <t>つふから崎</t>
        </is>
      </c>
      <c r="C201" t="inlineStr">
        <is>
          <t>崎</t>
        </is>
      </c>
      <c r="D201" t="inlineStr">
        <is>
          <t>28.1677202</t>
        </is>
      </c>
      <c r="E201" t="inlineStr">
        <is>
          <t>129.2878497</t>
        </is>
      </c>
      <c r="F201" t="inlineStr">
        <is>
          <t>正保琉球国絵図写</t>
        </is>
      </c>
      <c r="G201" t="inlineStr"/>
      <c r="H201" t="inlineStr"/>
      <c r="I201" t="inlineStr">
        <is>
          <t>127</t>
        </is>
      </c>
      <c r="J201" t="inlineStr"/>
      <c r="K201" t="inlineStr">
        <is>
          <t>鹿児島県大島郡瀬戸内町久根津</t>
        </is>
      </c>
      <c r="L201" s="1">
        <f>HYPERLINK("https://www.hi.u-tokyo.ac.jp/collection/degitalgallary/ryukyu/item/10200", "https://www.hi.u-tokyo.ac.jp/collection/degitalgallary/ryukyu/item/10200")</f>
        <v/>
      </c>
    </row>
    <row r="202">
      <c r="A202" t="inlineStr">
        <is>
          <t>10201</t>
        </is>
      </c>
      <c r="B202" t="inlineStr">
        <is>
          <t>長崎</t>
        </is>
      </c>
      <c r="C202" t="inlineStr">
        <is>
          <t>崎</t>
        </is>
      </c>
      <c r="D202" t="inlineStr">
        <is>
          <t>28.1657667</t>
        </is>
      </c>
      <c r="E202" t="inlineStr">
        <is>
          <t>129.2848518</t>
        </is>
      </c>
      <c r="F202" t="inlineStr">
        <is>
          <t>正保琉球国絵図写</t>
        </is>
      </c>
      <c r="G202" t="inlineStr"/>
      <c r="H202" t="inlineStr"/>
      <c r="I202" t="inlineStr">
        <is>
          <t>128</t>
        </is>
      </c>
      <c r="J202" t="inlineStr"/>
      <c r="K202" t="inlineStr">
        <is>
          <t>鹿児島県大島郡瀬戸内町手安</t>
        </is>
      </c>
      <c r="L202" s="1">
        <f>HYPERLINK("https://www.hi.u-tokyo.ac.jp/collection/degitalgallary/ryukyu/item/10201", "https://www.hi.u-tokyo.ac.jp/collection/degitalgallary/ryukyu/item/10201")</f>
        <v/>
      </c>
    </row>
    <row r="203">
      <c r="A203" t="inlineStr">
        <is>
          <t>10202</t>
        </is>
      </c>
      <c r="B203" t="inlineStr">
        <is>
          <t>まちやみ崎</t>
        </is>
      </c>
      <c r="C203" t="inlineStr">
        <is>
          <t>崎</t>
        </is>
      </c>
      <c r="D203" t="inlineStr">
        <is>
          <t>28.1539659</t>
        </is>
      </c>
      <c r="E203" t="inlineStr">
        <is>
          <t>129.2927008</t>
        </is>
      </c>
      <c r="F203" t="inlineStr">
        <is>
          <t>正保琉球国絵図写</t>
        </is>
      </c>
      <c r="G203" t="inlineStr"/>
      <c r="H203" t="inlineStr"/>
      <c r="I203" t="inlineStr">
        <is>
          <t>129</t>
        </is>
      </c>
      <c r="J203" t="inlineStr"/>
      <c r="K203" t="inlineStr">
        <is>
          <t>鹿児島県大島郡瀬戸内町手安</t>
        </is>
      </c>
      <c r="L203" s="1">
        <f>HYPERLINK("https://www.hi.u-tokyo.ac.jp/collection/degitalgallary/ryukyu/item/10202", "https://www.hi.u-tokyo.ac.jp/collection/degitalgallary/ryukyu/item/10202")</f>
        <v/>
      </c>
    </row>
    <row r="204">
      <c r="A204" t="inlineStr">
        <is>
          <t>10203</t>
        </is>
      </c>
      <c r="B204" t="inlineStr">
        <is>
          <t>しよんま崎</t>
        </is>
      </c>
      <c r="C204" t="inlineStr">
        <is>
          <t>崎</t>
        </is>
      </c>
      <c r="D204" t="inlineStr">
        <is>
          <t>28.149419</t>
        </is>
      </c>
      <c r="E204" t="inlineStr">
        <is>
          <t>129.2962396</t>
        </is>
      </c>
      <c r="F204" t="inlineStr">
        <is>
          <t>正保琉球国絵図写</t>
        </is>
      </c>
      <c r="G204" t="inlineStr"/>
      <c r="H204" t="inlineStr"/>
      <c r="I204" t="inlineStr">
        <is>
          <t>130</t>
        </is>
      </c>
      <c r="J204" t="inlineStr"/>
      <c r="K204" t="inlineStr">
        <is>
          <t>鹿児島県大島郡瀬戸内町手安</t>
        </is>
      </c>
      <c r="L204" s="1">
        <f>HYPERLINK("https://www.hi.u-tokyo.ac.jp/collection/degitalgallary/ryukyu/item/10203", "https://www.hi.u-tokyo.ac.jp/collection/degitalgallary/ryukyu/item/10203")</f>
        <v/>
      </c>
    </row>
    <row r="205">
      <c r="A205" t="inlineStr">
        <is>
          <t>10204</t>
        </is>
      </c>
      <c r="B205" t="inlineStr">
        <is>
          <t>おかみ山</t>
        </is>
      </c>
      <c r="C205" t="inlineStr">
        <is>
          <t>山</t>
        </is>
      </c>
      <c r="D205" t="inlineStr">
        <is>
          <t>28.1677024</t>
        </is>
      </c>
      <c r="E205" t="inlineStr">
        <is>
          <t>129.3155515</t>
        </is>
      </c>
      <c r="F205" t="inlineStr">
        <is>
          <t>正保琉球国絵図写</t>
        </is>
      </c>
      <c r="G205" t="inlineStr"/>
      <c r="H205" t="inlineStr"/>
      <c r="I205" t="inlineStr">
        <is>
          <t>131</t>
        </is>
      </c>
      <c r="J205" t="inlineStr"/>
      <c r="K205" t="inlineStr">
        <is>
          <t>鹿児島県大島郡瀬戸内町久根津</t>
        </is>
      </c>
      <c r="L205" s="1">
        <f>HYPERLINK("https://www.hi.u-tokyo.ac.jp/collection/degitalgallary/ryukyu/item/10204", "https://www.hi.u-tokyo.ac.jp/collection/degitalgallary/ryukyu/item/10204")</f>
        <v/>
      </c>
    </row>
    <row r="206">
      <c r="A206" t="inlineStr">
        <is>
          <t>10205</t>
        </is>
      </c>
      <c r="B206" t="inlineStr">
        <is>
          <t>御神瀬</t>
        </is>
      </c>
      <c r="C206" t="inlineStr">
        <is>
          <t>干瀬</t>
        </is>
      </c>
      <c r="D206" t="inlineStr">
        <is>
          <t>28.1344582</t>
        </is>
      </c>
      <c r="E206" t="inlineStr">
        <is>
          <t>129.3229417</t>
        </is>
      </c>
      <c r="F206" t="inlineStr">
        <is>
          <t>正保琉球国絵図写</t>
        </is>
      </c>
      <c r="G206" t="inlineStr"/>
      <c r="H206" t="inlineStr"/>
      <c r="I206" t="inlineStr">
        <is>
          <t>132</t>
        </is>
      </c>
      <c r="J206" t="inlineStr"/>
      <c r="K206" t="inlineStr">
        <is>
          <t>鹿児島県大島郡瀬戸内町古仁屋瀬久井東</t>
        </is>
      </c>
      <c r="L206" s="1">
        <f>HYPERLINK("https://www.hi.u-tokyo.ac.jp/collection/degitalgallary/ryukyu/item/10205", "https://www.hi.u-tokyo.ac.jp/collection/degitalgallary/ryukyu/item/10205")</f>
        <v/>
      </c>
    </row>
    <row r="207">
      <c r="A207" t="inlineStr">
        <is>
          <t>10206</t>
        </is>
      </c>
      <c r="B207" t="inlineStr">
        <is>
          <t>みんせのはな</t>
        </is>
      </c>
      <c r="C207" t="inlineStr">
        <is>
          <t>その他</t>
        </is>
      </c>
      <c r="D207" t="inlineStr">
        <is>
          <t>28.1316364</t>
        </is>
      </c>
      <c r="E207" t="inlineStr">
        <is>
          <t>129.3356373</t>
        </is>
      </c>
      <c r="F207" t="inlineStr">
        <is>
          <t>正保琉球国絵図写</t>
        </is>
      </c>
      <c r="G207" t="inlineStr"/>
      <c r="H207" t="inlineStr"/>
      <c r="I207" t="inlineStr">
        <is>
          <t>133</t>
        </is>
      </c>
      <c r="J207" t="inlineStr"/>
      <c r="K207" t="inlineStr">
        <is>
          <t>鹿児島県大島郡瀬戸内町嘉鉄</t>
        </is>
      </c>
      <c r="L207" s="1">
        <f>HYPERLINK("https://www.hi.u-tokyo.ac.jp/collection/degitalgallary/ryukyu/item/10206", "https://www.hi.u-tokyo.ac.jp/collection/degitalgallary/ryukyu/item/10206")</f>
        <v/>
      </c>
    </row>
    <row r="208">
      <c r="A208" t="inlineStr">
        <is>
          <t>10207</t>
        </is>
      </c>
      <c r="B208" t="inlineStr">
        <is>
          <t>崎山崎</t>
        </is>
      </c>
      <c r="C208" t="inlineStr">
        <is>
          <t>崎</t>
        </is>
      </c>
      <c r="D208" t="inlineStr">
        <is>
          <t>28.1320119</t>
        </is>
      </c>
      <c r="E208" t="inlineStr">
        <is>
          <t>129.3485902</t>
        </is>
      </c>
      <c r="F208" t="inlineStr">
        <is>
          <t>正保琉球国絵図写</t>
        </is>
      </c>
      <c r="G208" t="inlineStr"/>
      <c r="H208" t="inlineStr"/>
      <c r="I208" t="inlineStr">
        <is>
          <t>134</t>
        </is>
      </c>
      <c r="J208" t="inlineStr"/>
      <c r="K208" t="inlineStr">
        <is>
          <t>鹿児島県大島郡瀬戸内町嘉鉄</t>
        </is>
      </c>
      <c r="L208" s="1">
        <f>HYPERLINK("https://www.hi.u-tokyo.ac.jp/collection/degitalgallary/ryukyu/item/10207", "https://www.hi.u-tokyo.ac.jp/collection/degitalgallary/ryukyu/item/10207")</f>
        <v/>
      </c>
    </row>
    <row r="209">
      <c r="A209" t="inlineStr">
        <is>
          <t>10208</t>
        </is>
      </c>
      <c r="B209" t="inlineStr">
        <is>
          <t>一ツ玉</t>
        </is>
      </c>
      <c r="C209" t="inlineStr">
        <is>
          <t>その他</t>
        </is>
      </c>
      <c r="D209" t="inlineStr">
        <is>
          <t>28.112177</t>
        </is>
      </c>
      <c r="E209" t="inlineStr">
        <is>
          <t>129.3667513</t>
        </is>
      </c>
      <c r="F209" t="inlineStr">
        <is>
          <t>正保琉球国絵図写</t>
        </is>
      </c>
      <c r="G209" t="inlineStr"/>
      <c r="H209" t="inlineStr"/>
      <c r="I209" t="inlineStr">
        <is>
          <t>135</t>
        </is>
      </c>
      <c r="J209" t="inlineStr"/>
      <c r="K209" t="inlineStr">
        <is>
          <t>鹿児島県大島郡瀬戸内町蘇刈</t>
        </is>
      </c>
      <c r="L209" s="1">
        <f>HYPERLINK("https://www.hi.u-tokyo.ac.jp/collection/degitalgallary/ryukyu/item/10208", "https://www.hi.u-tokyo.ac.jp/collection/degitalgallary/ryukyu/item/10208")</f>
        <v/>
      </c>
    </row>
    <row r="210">
      <c r="A210" t="inlineStr">
        <is>
          <t>10209</t>
        </is>
      </c>
      <c r="B210" t="inlineStr">
        <is>
          <t>はい瀬</t>
        </is>
      </c>
      <c r="C210" t="inlineStr">
        <is>
          <t>干瀬</t>
        </is>
      </c>
      <c r="D210" t="inlineStr">
        <is>
          <t>28.1054767</t>
        </is>
      </c>
      <c r="E210" t="inlineStr">
        <is>
          <t>129.3613237</t>
        </is>
      </c>
      <c r="F210" t="inlineStr">
        <is>
          <t>正保琉球国絵図写</t>
        </is>
      </c>
      <c r="G210" t="inlineStr"/>
      <c r="H210" t="inlineStr"/>
      <c r="I210" t="inlineStr">
        <is>
          <t>136</t>
        </is>
      </c>
      <c r="J210" t="inlineStr"/>
      <c r="K210" t="inlineStr">
        <is>
          <t>鹿児島県大島郡瀬戸内町渡連</t>
        </is>
      </c>
      <c r="L210" s="1">
        <f>HYPERLINK("https://www.hi.u-tokyo.ac.jp/collection/degitalgallary/ryukyu/item/10209", "https://www.hi.u-tokyo.ac.jp/collection/degitalgallary/ryukyu/item/10209")</f>
        <v/>
      </c>
    </row>
    <row r="211">
      <c r="A211" t="inlineStr">
        <is>
          <t>10210</t>
        </is>
      </c>
      <c r="B211" t="inlineStr">
        <is>
          <t>ねくれ</t>
        </is>
      </c>
      <c r="C211" t="inlineStr">
        <is>
          <t>その他</t>
        </is>
      </c>
      <c r="D211" t="inlineStr">
        <is>
          <t>28.1134156</t>
        </is>
      </c>
      <c r="E211" t="inlineStr">
        <is>
          <t>129.3810937</t>
        </is>
      </c>
      <c r="F211" t="inlineStr">
        <is>
          <t>正保琉球国絵図写</t>
        </is>
      </c>
      <c r="G211" t="inlineStr"/>
      <c r="H211" t="inlineStr"/>
      <c r="I211" t="inlineStr">
        <is>
          <t>137</t>
        </is>
      </c>
      <c r="J211" t="inlineStr"/>
      <c r="K211" t="inlineStr">
        <is>
          <t>鹿児島県大島郡瀬戸内町蘇刈</t>
        </is>
      </c>
      <c r="L211" s="1">
        <f>HYPERLINK("https://www.hi.u-tokyo.ac.jp/collection/degitalgallary/ryukyu/item/10210", "https://www.hi.u-tokyo.ac.jp/collection/degitalgallary/ryukyu/item/10210")</f>
        <v/>
      </c>
    </row>
    <row r="212">
      <c r="A212" t="inlineStr">
        <is>
          <t>10211</t>
        </is>
      </c>
      <c r="B212" t="inlineStr">
        <is>
          <t>白瀬</t>
        </is>
      </c>
      <c r="C212" t="inlineStr">
        <is>
          <t>干瀬</t>
        </is>
      </c>
      <c r="D212" t="inlineStr">
        <is>
          <t>28.1522976</t>
        </is>
      </c>
      <c r="E212" t="inlineStr">
        <is>
          <t>129.3661515</t>
        </is>
      </c>
      <c r="F212" t="inlineStr">
        <is>
          <t>正保琉球国絵図写</t>
        </is>
      </c>
      <c r="G212" t="inlineStr"/>
      <c r="H212" t="inlineStr"/>
      <c r="I212" t="inlineStr">
        <is>
          <t>138</t>
        </is>
      </c>
      <c r="J212" t="inlineStr"/>
      <c r="K212" t="inlineStr">
        <is>
          <t>鹿児島県大島郡瀬戸内町伊須</t>
        </is>
      </c>
      <c r="L212" s="1">
        <f>HYPERLINK("https://www.hi.u-tokyo.ac.jp/collection/degitalgallary/ryukyu/item/10211", "https://www.hi.u-tokyo.ac.jp/collection/degitalgallary/ryukyu/item/10211")</f>
        <v/>
      </c>
    </row>
    <row r="213">
      <c r="A213" t="inlineStr">
        <is>
          <t>10212</t>
        </is>
      </c>
      <c r="B213" t="inlineStr">
        <is>
          <t>平瀬崎</t>
        </is>
      </c>
      <c r="C213" t="inlineStr">
        <is>
          <t>崎</t>
        </is>
      </c>
      <c r="D213" t="inlineStr">
        <is>
          <t>28.1704874</t>
        </is>
      </c>
      <c r="E213" t="inlineStr">
        <is>
          <t>129.3603971</t>
        </is>
      </c>
      <c r="F213" t="inlineStr">
        <is>
          <t>正保琉球国絵図写</t>
        </is>
      </c>
      <c r="G213" t="inlineStr"/>
      <c r="H213" t="inlineStr"/>
      <c r="I213" t="inlineStr">
        <is>
          <t>139</t>
        </is>
      </c>
      <c r="J213" t="inlineStr"/>
      <c r="K213" t="inlineStr">
        <is>
          <t>鹿児島県大島郡瀬戸内町網野子</t>
        </is>
      </c>
      <c r="L213" s="1">
        <f>HYPERLINK("https://www.hi.u-tokyo.ac.jp/collection/degitalgallary/ryukyu/item/10212", "https://www.hi.u-tokyo.ac.jp/collection/degitalgallary/ryukyu/item/10212")</f>
        <v/>
      </c>
    </row>
    <row r="214">
      <c r="A214" t="inlineStr">
        <is>
          <t>10213</t>
        </is>
      </c>
      <c r="B214" t="inlineStr">
        <is>
          <t>せとの崎</t>
        </is>
      </c>
      <c r="C214" t="inlineStr">
        <is>
          <t>崎</t>
        </is>
      </c>
      <c r="D214" t="inlineStr">
        <is>
          <t>28.164436</t>
        </is>
      </c>
      <c r="E214" t="inlineStr">
        <is>
          <t>129.3757087</t>
        </is>
      </c>
      <c r="F214" t="inlineStr">
        <is>
          <t>正保琉球国絵図写</t>
        </is>
      </c>
      <c r="G214" t="inlineStr"/>
      <c r="H214" t="inlineStr"/>
      <c r="I214" t="inlineStr">
        <is>
          <t>140</t>
        </is>
      </c>
      <c r="J214" t="inlineStr"/>
      <c r="K214" t="inlineStr">
        <is>
          <t>鹿児島県大島郡瀬戸内町節子</t>
        </is>
      </c>
      <c r="L214" s="1">
        <f>HYPERLINK("https://www.hi.u-tokyo.ac.jp/collection/degitalgallary/ryukyu/item/10213", "https://www.hi.u-tokyo.ac.jp/collection/degitalgallary/ryukyu/item/10213")</f>
        <v/>
      </c>
    </row>
    <row r="215">
      <c r="A215" t="inlineStr">
        <is>
          <t>10214</t>
        </is>
      </c>
      <c r="B215" t="inlineStr">
        <is>
          <t>二まい瀬</t>
        </is>
      </c>
      <c r="C215" t="inlineStr">
        <is>
          <t>干瀬</t>
        </is>
      </c>
      <c r="D215" t="inlineStr">
        <is>
          <t>28.1548604</t>
        </is>
      </c>
      <c r="E215" t="inlineStr">
        <is>
          <t>129.4012721</t>
        </is>
      </c>
      <c r="F215" t="inlineStr">
        <is>
          <t>正保琉球国絵図写</t>
        </is>
      </c>
      <c r="G215" t="inlineStr"/>
      <c r="H215" t="inlineStr"/>
      <c r="I215" t="inlineStr">
        <is>
          <t>141</t>
        </is>
      </c>
      <c r="J215" t="inlineStr"/>
      <c r="K215" t="inlineStr">
        <is>
          <t>鹿児島県大島郡瀬戸内町節子</t>
        </is>
      </c>
      <c r="L215" s="1">
        <f>HYPERLINK("https://www.hi.u-tokyo.ac.jp/collection/degitalgallary/ryukyu/item/10214", "https://www.hi.u-tokyo.ac.jp/collection/degitalgallary/ryukyu/item/10214")</f>
        <v/>
      </c>
    </row>
    <row r="216">
      <c r="A216" t="inlineStr">
        <is>
          <t>10215</t>
        </is>
      </c>
      <c r="B216" t="inlineStr">
        <is>
          <t>満崎</t>
        </is>
      </c>
      <c r="C216" t="inlineStr">
        <is>
          <t>崎</t>
        </is>
      </c>
      <c r="D216" t="inlineStr">
        <is>
          <t>28.1553443</t>
        </is>
      </c>
      <c r="E216" t="inlineStr">
        <is>
          <t>129.4000718</t>
        </is>
      </c>
      <c r="F216" t="inlineStr">
        <is>
          <t>正保琉球国絵図写</t>
        </is>
      </c>
      <c r="G216" t="inlineStr"/>
      <c r="H216" t="inlineStr"/>
      <c r="I216" t="inlineStr">
        <is>
          <t>142</t>
        </is>
      </c>
      <c r="J216" t="inlineStr"/>
      <c r="K216" t="inlineStr">
        <is>
          <t>鹿児島県大島郡瀬戸内町節子</t>
        </is>
      </c>
      <c r="L216" s="1">
        <f>HYPERLINK("https://www.hi.u-tokyo.ac.jp/collection/degitalgallary/ryukyu/item/10215", "https://www.hi.u-tokyo.ac.jp/collection/degitalgallary/ryukyu/item/10215")</f>
        <v/>
      </c>
    </row>
    <row r="217">
      <c r="A217" t="inlineStr">
        <is>
          <t>10216</t>
        </is>
      </c>
      <c r="B217" t="inlineStr">
        <is>
          <t>二ツ瀬</t>
        </is>
      </c>
      <c r="C217" t="inlineStr">
        <is>
          <t>干瀬</t>
        </is>
      </c>
      <c r="D217" t="inlineStr">
        <is>
          <t>28.183918</t>
        </is>
      </c>
      <c r="E217" t="inlineStr">
        <is>
          <t>129.4053176</t>
        </is>
      </c>
      <c r="F217" t="inlineStr">
        <is>
          <t>正保琉球国絵図写</t>
        </is>
      </c>
      <c r="G217" t="inlineStr"/>
      <c r="H217" t="inlineStr"/>
      <c r="I217" t="inlineStr">
        <is>
          <t>143</t>
        </is>
      </c>
      <c r="J217" t="inlineStr"/>
      <c r="K217" t="inlineStr">
        <is>
          <t>鹿児島県大島郡瀬戸内町嘉徳</t>
        </is>
      </c>
      <c r="L217" s="1">
        <f>HYPERLINK("https://www.hi.u-tokyo.ac.jp/collection/degitalgallary/ryukyu/item/10216", "https://www.hi.u-tokyo.ac.jp/collection/degitalgallary/ryukyu/item/10216")</f>
        <v/>
      </c>
    </row>
    <row r="218">
      <c r="A218" t="inlineStr">
        <is>
          <t>10217</t>
        </is>
      </c>
      <c r="B218" t="inlineStr">
        <is>
          <t>立神</t>
        </is>
      </c>
      <c r="C218" t="inlineStr">
        <is>
          <t>その他</t>
        </is>
      </c>
      <c r="D218" t="inlineStr">
        <is>
          <t>28.187649</t>
        </is>
      </c>
      <c r="E218" t="inlineStr">
        <is>
          <t>129.4330999</t>
        </is>
      </c>
      <c r="F218" t="inlineStr">
        <is>
          <t>正保琉球国絵図写</t>
        </is>
      </c>
      <c r="G218" t="inlineStr"/>
      <c r="H218" t="inlineStr"/>
      <c r="I218" t="inlineStr">
        <is>
          <t>144</t>
        </is>
      </c>
      <c r="J218" t="inlineStr"/>
      <c r="K218" t="inlineStr">
        <is>
          <t>鹿児島県大島郡瀬戸内町嘉徳</t>
        </is>
      </c>
      <c r="L218" s="1">
        <f>HYPERLINK("https://www.hi.u-tokyo.ac.jp/collection/degitalgallary/ryukyu/item/10217", "https://www.hi.u-tokyo.ac.jp/collection/degitalgallary/ryukyu/item/10217")</f>
        <v/>
      </c>
    </row>
    <row r="219">
      <c r="A219" t="inlineStr">
        <is>
          <t>10218</t>
        </is>
      </c>
      <c r="B219" t="inlineStr">
        <is>
          <t>一ノおかみ崎</t>
        </is>
      </c>
      <c r="C219" t="inlineStr">
        <is>
          <t>崎</t>
        </is>
      </c>
      <c r="D219" t="inlineStr"/>
      <c r="E219" t="inlineStr"/>
      <c r="F219" t="inlineStr">
        <is>
          <t>正保琉球国絵図写</t>
        </is>
      </c>
      <c r="G219" t="inlineStr"/>
      <c r="H219" t="inlineStr"/>
      <c r="I219" t="inlineStr">
        <is>
          <t>145</t>
        </is>
      </c>
      <c r="J219" t="inlineStr"/>
      <c r="K219" t="inlineStr"/>
      <c r="L219" s="1">
        <f>HYPERLINK("https://www.hi.u-tokyo.ac.jp/collection/degitalgallary/ryukyu/item/10218", "https://www.hi.u-tokyo.ac.jp/collection/degitalgallary/ryukyu/item/10218")</f>
        <v/>
      </c>
    </row>
    <row r="220">
      <c r="A220" t="inlineStr">
        <is>
          <t>10219</t>
        </is>
      </c>
      <c r="B220" t="inlineStr">
        <is>
          <t>大瀬</t>
        </is>
      </c>
      <c r="C220" t="inlineStr">
        <is>
          <t>干瀬</t>
        </is>
      </c>
      <c r="D220" t="inlineStr"/>
      <c r="E220" t="inlineStr"/>
      <c r="F220" t="inlineStr">
        <is>
          <t>正保琉球国絵図写</t>
        </is>
      </c>
      <c r="G220" t="inlineStr"/>
      <c r="H220" t="inlineStr"/>
      <c r="I220" t="inlineStr">
        <is>
          <t>146</t>
        </is>
      </c>
      <c r="J220" t="inlineStr"/>
      <c r="K220" t="inlineStr"/>
      <c r="L220" s="1">
        <f>HYPERLINK("https://www.hi.u-tokyo.ac.jp/collection/degitalgallary/ryukyu/item/10219", "https://www.hi.u-tokyo.ac.jp/collection/degitalgallary/ryukyu/item/10219")</f>
        <v/>
      </c>
    </row>
    <row r="221">
      <c r="A221" t="inlineStr">
        <is>
          <t>10220</t>
        </is>
      </c>
      <c r="B221" t="inlineStr">
        <is>
          <t>はとの崎</t>
        </is>
      </c>
      <c r="C221" t="inlineStr">
        <is>
          <t>崎</t>
        </is>
      </c>
      <c r="D221" t="inlineStr"/>
      <c r="E221" t="inlineStr"/>
      <c r="F221" t="inlineStr">
        <is>
          <t>正保琉球国絵図写</t>
        </is>
      </c>
      <c r="G221" t="inlineStr"/>
      <c r="H221" t="inlineStr"/>
      <c r="I221" t="inlineStr">
        <is>
          <t>147</t>
        </is>
      </c>
      <c r="J221" t="inlineStr"/>
      <c r="K221" t="inlineStr"/>
      <c r="L221" s="1">
        <f>HYPERLINK("https://www.hi.u-tokyo.ac.jp/collection/degitalgallary/ryukyu/item/10220", "https://www.hi.u-tokyo.ac.jp/collection/degitalgallary/ryukyu/item/10220")</f>
        <v/>
      </c>
    </row>
    <row r="222">
      <c r="A222" t="inlineStr">
        <is>
          <t>10221</t>
        </is>
      </c>
      <c r="B222" t="inlineStr">
        <is>
          <t>遠干潟</t>
        </is>
      </c>
      <c r="C222" t="inlineStr">
        <is>
          <t>干瀬</t>
        </is>
      </c>
      <c r="D222" t="inlineStr"/>
      <c r="E222" t="inlineStr"/>
      <c r="F222" t="inlineStr">
        <is>
          <t>正保琉球国絵図写</t>
        </is>
      </c>
      <c r="G222" t="inlineStr"/>
      <c r="H222" t="inlineStr"/>
      <c r="I222" t="inlineStr">
        <is>
          <t>148</t>
        </is>
      </c>
      <c r="J222" t="inlineStr"/>
      <c r="K222" t="inlineStr"/>
      <c r="L222" s="1">
        <f>HYPERLINK("https://www.hi.u-tokyo.ac.jp/collection/degitalgallary/ryukyu/item/10221", "https://www.hi.u-tokyo.ac.jp/collection/degitalgallary/ryukyu/item/10221")</f>
        <v/>
      </c>
    </row>
    <row r="223">
      <c r="A223" t="inlineStr">
        <is>
          <t>10222</t>
        </is>
      </c>
      <c r="B223" t="inlineStr">
        <is>
          <t>すこ村大道より住用間切大道迄、三里廿九町</t>
        </is>
      </c>
      <c r="C223" t="inlineStr">
        <is>
          <t>陸路</t>
        </is>
      </c>
      <c r="D223" t="inlineStr"/>
      <c r="E223" t="inlineStr"/>
      <c r="F223" t="inlineStr">
        <is>
          <t>正保琉球国絵図写</t>
        </is>
      </c>
      <c r="G223" t="inlineStr"/>
      <c r="H223" t="inlineStr"/>
      <c r="I223" t="inlineStr">
        <is>
          <t>149</t>
        </is>
      </c>
      <c r="J223" t="inlineStr"/>
      <c r="K223" t="inlineStr"/>
      <c r="L223" s="1">
        <f>HYPERLINK("https://www.hi.u-tokyo.ac.jp/collection/degitalgallary/ryukyu/item/10222", "https://www.hi.u-tokyo.ac.jp/collection/degitalgallary/ryukyu/item/10222")</f>
        <v/>
      </c>
    </row>
    <row r="224">
      <c r="A224" t="inlineStr">
        <is>
          <t>10223</t>
        </is>
      </c>
      <c r="B224" t="inlineStr">
        <is>
          <t>住用</t>
        </is>
      </c>
      <c r="C224" t="inlineStr">
        <is>
          <t>港湾</t>
        </is>
      </c>
      <c r="D224" t="inlineStr"/>
      <c r="E224" t="inlineStr"/>
      <c r="F224" t="inlineStr">
        <is>
          <t>正保琉球国絵図写</t>
        </is>
      </c>
      <c r="G224" t="inlineStr">
        <is>
          <t>此住用湊、入三町、広サ弐町、深サ八尋、大船七八艘程繋ル、東風北風之時船繋リ不成</t>
        </is>
      </c>
      <c r="H224" t="inlineStr"/>
      <c r="I224" t="inlineStr">
        <is>
          <t>150</t>
        </is>
      </c>
      <c r="J224" t="inlineStr"/>
      <c r="K224" t="inlineStr"/>
      <c r="L224" s="1">
        <f>HYPERLINK("https://www.hi.u-tokyo.ac.jp/collection/degitalgallary/ryukyu/item/10223", "https://www.hi.u-tokyo.ac.jp/collection/degitalgallary/ryukyu/item/10223")</f>
        <v/>
      </c>
    </row>
    <row r="225">
      <c r="A225" t="inlineStr">
        <is>
          <t>10224</t>
        </is>
      </c>
      <c r="B225" t="inlineStr">
        <is>
          <t>住用湊より瀬名迄、海上四里半</t>
        </is>
      </c>
      <c r="C225" t="inlineStr">
        <is>
          <t>航路</t>
        </is>
      </c>
      <c r="D225" t="inlineStr"/>
      <c r="E225" t="inlineStr"/>
      <c r="F225" t="inlineStr">
        <is>
          <t>正保琉球国絵図写</t>
        </is>
      </c>
      <c r="G225" t="inlineStr"/>
      <c r="H225" t="inlineStr"/>
      <c r="I225" t="inlineStr">
        <is>
          <t>151</t>
        </is>
      </c>
      <c r="J225" t="inlineStr"/>
      <c r="K225" t="inlineStr"/>
      <c r="L225" s="1">
        <f>HYPERLINK("https://www.hi.u-tokyo.ac.jp/collection/degitalgallary/ryukyu/item/10224", "https://www.hi.u-tokyo.ac.jp/collection/degitalgallary/ryukyu/item/10224")</f>
        <v/>
      </c>
    </row>
    <row r="226">
      <c r="A226" t="inlineStr">
        <is>
          <t>10225</t>
        </is>
      </c>
      <c r="B226" t="inlineStr">
        <is>
          <t>城のはなれ</t>
        </is>
      </c>
      <c r="C226" t="inlineStr">
        <is>
          <t>その他</t>
        </is>
      </c>
      <c r="D226" t="inlineStr"/>
      <c r="E226" t="inlineStr"/>
      <c r="F226" t="inlineStr">
        <is>
          <t>正保琉球国絵図写</t>
        </is>
      </c>
      <c r="G226" t="inlineStr"/>
      <c r="H226" t="inlineStr"/>
      <c r="I226" t="inlineStr">
        <is>
          <t>152</t>
        </is>
      </c>
      <c r="J226" t="inlineStr"/>
      <c r="K226" t="inlineStr"/>
      <c r="L226" s="1">
        <f>HYPERLINK("https://www.hi.u-tokyo.ac.jp/collection/degitalgallary/ryukyu/item/10225", "https://www.hi.u-tokyo.ac.jp/collection/degitalgallary/ryukyu/item/10225")</f>
        <v/>
      </c>
    </row>
    <row r="227">
      <c r="A227" t="inlineStr">
        <is>
          <t>10226</t>
        </is>
      </c>
      <c r="B227" t="inlineStr">
        <is>
          <t>すくるとへら</t>
        </is>
      </c>
      <c r="C227" t="inlineStr">
        <is>
          <t>その他</t>
        </is>
      </c>
      <c r="D227" t="inlineStr"/>
      <c r="E227" t="inlineStr"/>
      <c r="F227" t="inlineStr">
        <is>
          <t>正保琉球国絵図写</t>
        </is>
      </c>
      <c r="G227" t="inlineStr"/>
      <c r="H227" t="inlineStr"/>
      <c r="I227" t="inlineStr">
        <is>
          <t>153</t>
        </is>
      </c>
      <c r="J227" t="inlineStr"/>
      <c r="K227" t="inlineStr"/>
      <c r="L227" s="1">
        <f>HYPERLINK("https://www.hi.u-tokyo.ac.jp/collection/degitalgallary/ryukyu/item/10226", "https://www.hi.u-tokyo.ac.jp/collection/degitalgallary/ryukyu/item/10226")</f>
        <v/>
      </c>
    </row>
    <row r="228">
      <c r="A228" t="inlineStr">
        <is>
          <t>10227</t>
        </is>
      </c>
      <c r="B228" t="inlineStr">
        <is>
          <t>船出入なし</t>
        </is>
      </c>
      <c r="C228" t="inlineStr">
        <is>
          <t>港湾</t>
        </is>
      </c>
      <c r="D228" t="inlineStr"/>
      <c r="E228" t="inlineStr"/>
      <c r="F228" t="inlineStr">
        <is>
          <t>正保琉球国絵図写</t>
        </is>
      </c>
      <c r="G228" t="inlineStr"/>
      <c r="H228" t="inlineStr"/>
      <c r="I228" t="inlineStr">
        <is>
          <t>154</t>
        </is>
      </c>
      <c r="J228" t="inlineStr"/>
      <c r="K228" t="inlineStr"/>
      <c r="L228" s="1">
        <f>HYPERLINK("https://www.hi.u-tokyo.ac.jp/collection/degitalgallary/ryukyu/item/10227", "https://www.hi.u-tokyo.ac.jp/collection/degitalgallary/ryukyu/item/10227")</f>
        <v/>
      </c>
    </row>
    <row r="229">
      <c r="A229" t="inlineStr">
        <is>
          <t>10228</t>
        </is>
      </c>
      <c r="B229" t="inlineStr">
        <is>
          <t>三ツ瀬</t>
        </is>
      </c>
      <c r="C229" t="inlineStr">
        <is>
          <t>干瀬</t>
        </is>
      </c>
      <c r="D229" t="inlineStr"/>
      <c r="E229" t="inlineStr"/>
      <c r="F229" t="inlineStr">
        <is>
          <t>正保琉球国絵図写</t>
        </is>
      </c>
      <c r="G229" t="inlineStr"/>
      <c r="H229" t="inlineStr"/>
      <c r="I229" t="inlineStr">
        <is>
          <t>155</t>
        </is>
      </c>
      <c r="J229" t="inlineStr"/>
      <c r="K229" t="inlineStr"/>
      <c r="L229" s="1">
        <f>HYPERLINK("https://www.hi.u-tokyo.ac.jp/collection/degitalgallary/ryukyu/item/10228", "https://www.hi.u-tokyo.ac.jp/collection/degitalgallary/ryukyu/item/10228")</f>
        <v/>
      </c>
    </row>
    <row r="230">
      <c r="A230" t="inlineStr">
        <is>
          <t>10229</t>
        </is>
      </c>
      <c r="B230" t="inlineStr">
        <is>
          <t>くろ瀬</t>
        </is>
      </c>
      <c r="C230" t="inlineStr">
        <is>
          <t>干瀬</t>
        </is>
      </c>
      <c r="D230" t="inlineStr">
        <is>
          <t>28.3095643</t>
        </is>
      </c>
      <c r="E230" t="inlineStr">
        <is>
          <t>129.5123101</t>
        </is>
      </c>
      <c r="F230" t="inlineStr">
        <is>
          <t>正保琉球国絵図写</t>
        </is>
      </c>
      <c r="G230" t="inlineStr"/>
      <c r="H230" t="inlineStr"/>
      <c r="I230" t="inlineStr">
        <is>
          <t>156</t>
        </is>
      </c>
      <c r="J230" t="inlineStr"/>
      <c r="K230" t="inlineStr">
        <is>
          <t>鹿児島県奄美市名瀬大字小湊</t>
        </is>
      </c>
      <c r="L230" s="1">
        <f>HYPERLINK("https://www.hi.u-tokyo.ac.jp/collection/degitalgallary/ryukyu/item/10229", "https://www.hi.u-tokyo.ac.jp/collection/degitalgallary/ryukyu/item/10229")</f>
        <v/>
      </c>
    </row>
    <row r="231">
      <c r="A231" t="inlineStr">
        <is>
          <t>10230</t>
        </is>
      </c>
      <c r="B231" t="inlineStr">
        <is>
          <t>中ひせ</t>
        </is>
      </c>
      <c r="C231" t="inlineStr">
        <is>
          <t>干瀬</t>
        </is>
      </c>
      <c r="D231" t="inlineStr">
        <is>
          <t>28.3125714</t>
        </is>
      </c>
      <c r="E231" t="inlineStr">
        <is>
          <t>129.5437677</t>
        </is>
      </c>
      <c r="F231" t="inlineStr">
        <is>
          <t>正保琉球国絵図写</t>
        </is>
      </c>
      <c r="G231" t="inlineStr"/>
      <c r="H231" t="inlineStr"/>
      <c r="I231" t="inlineStr">
        <is>
          <t>157</t>
        </is>
      </c>
      <c r="J231" t="inlineStr"/>
      <c r="K231" t="inlineStr">
        <is>
          <t>鹿児島県奄美市名瀬大字小湊</t>
        </is>
      </c>
      <c r="L231" s="1">
        <f>HYPERLINK("https://www.hi.u-tokyo.ac.jp/collection/degitalgallary/ryukyu/item/10230", "https://www.hi.u-tokyo.ac.jp/collection/degitalgallary/ryukyu/item/10230")</f>
        <v/>
      </c>
    </row>
    <row r="232">
      <c r="A232" t="inlineStr">
        <is>
          <t>10231</t>
        </is>
      </c>
      <c r="B232" t="inlineStr">
        <is>
          <t>赤立神</t>
        </is>
      </c>
      <c r="C232" t="inlineStr">
        <is>
          <t>その他</t>
        </is>
      </c>
      <c r="D232" t="inlineStr">
        <is>
          <t>28.3095643</t>
        </is>
      </c>
      <c r="E232" t="inlineStr">
        <is>
          <t>129.5123101</t>
        </is>
      </c>
      <c r="F232" t="inlineStr">
        <is>
          <t>正保琉球国絵図写</t>
        </is>
      </c>
      <c r="G232" t="inlineStr"/>
      <c r="H232" t="inlineStr"/>
      <c r="I232" t="inlineStr">
        <is>
          <t>158</t>
        </is>
      </c>
      <c r="J232" t="inlineStr"/>
      <c r="K232" t="inlineStr">
        <is>
          <t>鹿児島県奄美市名瀬大字小湊</t>
        </is>
      </c>
      <c r="L232" s="1">
        <f>HYPERLINK("https://www.hi.u-tokyo.ac.jp/collection/degitalgallary/ryukyu/item/10231", "https://www.hi.u-tokyo.ac.jp/collection/degitalgallary/ryukyu/item/10231")</f>
        <v/>
      </c>
    </row>
    <row r="233">
      <c r="A233" t="inlineStr">
        <is>
          <t>10232</t>
        </is>
      </c>
      <c r="B233" t="inlineStr">
        <is>
          <t>三ツ瀬</t>
        </is>
      </c>
      <c r="C233" t="inlineStr">
        <is>
          <t>干瀬</t>
        </is>
      </c>
      <c r="D233" t="inlineStr">
        <is>
          <t>28.3043376</t>
        </is>
      </c>
      <c r="E233" t="inlineStr">
        <is>
          <t>129.5425308</t>
        </is>
      </c>
      <c r="F233" t="inlineStr">
        <is>
          <t>正保琉球国絵図写</t>
        </is>
      </c>
      <c r="G233" t="inlineStr"/>
      <c r="H233" t="inlineStr"/>
      <c r="I233" t="inlineStr">
        <is>
          <t>159</t>
        </is>
      </c>
      <c r="J233" t="inlineStr"/>
      <c r="K233" t="inlineStr">
        <is>
          <t>鹿児島県奄美市名瀬大字小湊</t>
        </is>
      </c>
      <c r="L233" s="1">
        <f>HYPERLINK("https://www.hi.u-tokyo.ac.jp/collection/degitalgallary/ryukyu/item/10232", "https://www.hi.u-tokyo.ac.jp/collection/degitalgallary/ryukyu/item/10232")</f>
        <v/>
      </c>
    </row>
    <row r="234">
      <c r="A234" t="inlineStr">
        <is>
          <t>10233</t>
        </is>
      </c>
      <c r="B234" t="inlineStr">
        <is>
          <t>平瀬</t>
        </is>
      </c>
      <c r="C234" t="inlineStr">
        <is>
          <t>干瀬</t>
        </is>
      </c>
      <c r="D234" t="inlineStr"/>
      <c r="E234" t="inlineStr"/>
      <c r="F234" t="inlineStr">
        <is>
          <t>正保琉球国絵図写</t>
        </is>
      </c>
      <c r="G234" t="inlineStr"/>
      <c r="H234" t="inlineStr"/>
      <c r="I234" t="inlineStr">
        <is>
          <t>160</t>
        </is>
      </c>
      <c r="J234" t="inlineStr"/>
      <c r="K234" t="inlineStr"/>
      <c r="L234" s="1">
        <f>HYPERLINK("https://www.hi.u-tokyo.ac.jp/collection/degitalgallary/ryukyu/item/10233", "https://www.hi.u-tokyo.ac.jp/collection/degitalgallary/ryukyu/item/10233")</f>
        <v/>
      </c>
    </row>
    <row r="235">
      <c r="A235" t="inlineStr">
        <is>
          <t>10234</t>
        </is>
      </c>
      <c r="B235" t="inlineStr">
        <is>
          <t>むま瀬</t>
        </is>
      </c>
      <c r="C235" t="inlineStr">
        <is>
          <t>干瀬</t>
        </is>
      </c>
      <c r="D235" t="inlineStr"/>
      <c r="E235" t="inlineStr"/>
      <c r="F235" t="inlineStr">
        <is>
          <t>正保琉球国絵図写</t>
        </is>
      </c>
      <c r="G235" t="inlineStr"/>
      <c r="H235" t="inlineStr"/>
      <c r="I235" t="inlineStr">
        <is>
          <t>161</t>
        </is>
      </c>
      <c r="J235" t="inlineStr"/>
      <c r="K235" t="inlineStr"/>
      <c r="L235" s="1">
        <f>HYPERLINK("https://www.hi.u-tokyo.ac.jp/collection/degitalgallary/ryukyu/item/10234", "https://www.hi.u-tokyo.ac.jp/collection/degitalgallary/ryukyu/item/10234")</f>
        <v/>
      </c>
    </row>
    <row r="236">
      <c r="A236" t="inlineStr">
        <is>
          <t>10235</t>
        </is>
      </c>
      <c r="B236" t="inlineStr">
        <is>
          <t>くさせ</t>
        </is>
      </c>
      <c r="C236" t="inlineStr">
        <is>
          <t>干瀬</t>
        </is>
      </c>
      <c r="D236" t="inlineStr"/>
      <c r="E236" t="inlineStr"/>
      <c r="F236" t="inlineStr">
        <is>
          <t>正保琉球国絵図写</t>
        </is>
      </c>
      <c r="G236" t="inlineStr"/>
      <c r="H236" t="inlineStr"/>
      <c r="I236" t="inlineStr">
        <is>
          <t>162</t>
        </is>
      </c>
      <c r="J236" t="inlineStr"/>
      <c r="K236" t="inlineStr"/>
      <c r="L236" s="1">
        <f>HYPERLINK("https://www.hi.u-tokyo.ac.jp/collection/degitalgallary/ryukyu/item/10235", "https://www.hi.u-tokyo.ac.jp/collection/degitalgallary/ryukyu/item/10235")</f>
        <v/>
      </c>
    </row>
    <row r="237">
      <c r="A237" t="inlineStr">
        <is>
          <t>10236</t>
        </is>
      </c>
      <c r="B237" t="inlineStr">
        <is>
          <t>大瀬</t>
        </is>
      </c>
      <c r="C237" t="inlineStr">
        <is>
          <t>干瀬</t>
        </is>
      </c>
      <c r="D237" t="inlineStr"/>
      <c r="E237" t="inlineStr"/>
      <c r="F237" t="inlineStr">
        <is>
          <t>正保琉球国絵図写</t>
        </is>
      </c>
      <c r="G237" t="inlineStr"/>
      <c r="H237" t="inlineStr"/>
      <c r="I237" t="inlineStr">
        <is>
          <t>163</t>
        </is>
      </c>
      <c r="J237" t="inlineStr"/>
      <c r="K237" t="inlineStr"/>
      <c r="L237" s="1">
        <f>HYPERLINK("https://www.hi.u-tokyo.ac.jp/collection/degitalgallary/ryukyu/item/10236", "https://www.hi.u-tokyo.ac.jp/collection/degitalgallary/ryukyu/item/10236")</f>
        <v/>
      </c>
    </row>
    <row r="238">
      <c r="A238" t="inlineStr">
        <is>
          <t>10237</t>
        </is>
      </c>
      <c r="B238" t="inlineStr">
        <is>
          <t>瀬名</t>
        </is>
      </c>
      <c r="C238" t="inlineStr">
        <is>
          <t>港湾</t>
        </is>
      </c>
      <c r="D238" t="inlineStr"/>
      <c r="E238" t="inlineStr"/>
      <c r="F238" t="inlineStr">
        <is>
          <t>正保琉球国絵図写</t>
        </is>
      </c>
      <c r="G238" t="inlineStr">
        <is>
          <t>此うら船かゝり不自由</t>
        </is>
      </c>
      <c r="H238" t="inlineStr"/>
      <c r="I238" t="inlineStr">
        <is>
          <t>164</t>
        </is>
      </c>
      <c r="J238" t="inlineStr"/>
      <c r="K238" t="inlineStr"/>
      <c r="L238" s="1">
        <f>HYPERLINK("https://www.hi.u-tokyo.ac.jp/collection/degitalgallary/ryukyu/item/10237", "https://www.hi.u-tokyo.ac.jp/collection/degitalgallary/ryukyu/item/10237")</f>
        <v/>
      </c>
    </row>
    <row r="239">
      <c r="A239" t="inlineStr">
        <is>
          <t>10238</t>
        </is>
      </c>
      <c r="B239" t="inlineStr">
        <is>
          <t>はう瀬</t>
        </is>
      </c>
      <c r="C239" t="inlineStr">
        <is>
          <t>干瀬</t>
        </is>
      </c>
      <c r="D239" t="inlineStr"/>
      <c r="E239" t="inlineStr"/>
      <c r="F239" t="inlineStr">
        <is>
          <t>正保琉球国絵図写</t>
        </is>
      </c>
      <c r="G239" t="inlineStr"/>
      <c r="H239" t="inlineStr"/>
      <c r="I239" t="inlineStr">
        <is>
          <t>165</t>
        </is>
      </c>
      <c r="J239" t="inlineStr"/>
      <c r="K239" t="inlineStr"/>
      <c r="L239" s="1">
        <f>HYPERLINK("https://www.hi.u-tokyo.ac.jp/collection/degitalgallary/ryukyu/item/10238", "https://www.hi.u-tokyo.ac.jp/collection/degitalgallary/ryukyu/item/10238")</f>
        <v/>
      </c>
    </row>
    <row r="240">
      <c r="A240" t="inlineStr">
        <is>
          <t>10239</t>
        </is>
      </c>
      <c r="B240" t="inlineStr">
        <is>
          <t>瀬名よりせつた迄、海上四里</t>
        </is>
      </c>
      <c r="C240" t="inlineStr">
        <is>
          <t>航路</t>
        </is>
      </c>
      <c r="D240" t="inlineStr"/>
      <c r="E240" t="inlineStr"/>
      <c r="F240" t="inlineStr">
        <is>
          <t>正保琉球国絵図写</t>
        </is>
      </c>
      <c r="G240" t="inlineStr"/>
      <c r="H240" t="inlineStr"/>
      <c r="I240" t="inlineStr">
        <is>
          <t>166</t>
        </is>
      </c>
      <c r="J240" t="inlineStr"/>
      <c r="K240" t="inlineStr"/>
      <c r="L240" s="1">
        <f>HYPERLINK("https://www.hi.u-tokyo.ac.jp/collection/degitalgallary/ryukyu/item/10239", "https://www.hi.u-tokyo.ac.jp/collection/degitalgallary/ryukyu/item/10239")</f>
        <v/>
      </c>
    </row>
    <row r="241">
      <c r="A241" t="inlineStr">
        <is>
          <t>10240</t>
        </is>
      </c>
      <c r="B241" t="inlineStr">
        <is>
          <t>われ瀬</t>
        </is>
      </c>
      <c r="C241" t="inlineStr">
        <is>
          <t>干瀬</t>
        </is>
      </c>
      <c r="D241" t="inlineStr">
        <is>
          <t>28.189979</t>
        </is>
      </c>
      <c r="E241" t="inlineStr">
        <is>
          <t>129.1630761</t>
        </is>
      </c>
      <c r="F241" t="inlineStr">
        <is>
          <t>正保琉球国絵図写</t>
        </is>
      </c>
      <c r="G241" t="inlineStr"/>
      <c r="H241" t="inlineStr"/>
      <c r="I241" t="inlineStr">
        <is>
          <t>167</t>
        </is>
      </c>
      <c r="J241" t="inlineStr"/>
      <c r="K241" t="inlineStr">
        <is>
          <t>鹿児島県大島郡瀬戸内町実久</t>
        </is>
      </c>
      <c r="L241" s="1">
        <f>HYPERLINK("https://www.hi.u-tokyo.ac.jp/collection/degitalgallary/ryukyu/item/10240", "https://www.hi.u-tokyo.ac.jp/collection/degitalgallary/ryukyu/item/10240")</f>
        <v/>
      </c>
    </row>
    <row r="242">
      <c r="A242" t="inlineStr">
        <is>
          <t>10241</t>
        </is>
      </c>
      <c r="B242" t="inlineStr">
        <is>
          <t>ゑにや</t>
        </is>
      </c>
      <c r="C242" t="inlineStr">
        <is>
          <t>その他</t>
        </is>
      </c>
      <c r="D242" t="inlineStr">
        <is>
          <t>28.1956116</t>
        </is>
      </c>
      <c r="E242" t="inlineStr">
        <is>
          <t>129.1688066</t>
        </is>
      </c>
      <c r="F242" t="inlineStr">
        <is>
          <t>正保琉球国絵図写</t>
        </is>
      </c>
      <c r="G242" t="inlineStr"/>
      <c r="H242" t="inlineStr"/>
      <c r="I242" t="inlineStr">
        <is>
          <t>168</t>
        </is>
      </c>
      <c r="J242" t="inlineStr"/>
      <c r="K242" t="inlineStr">
        <is>
          <t>鹿児島県大島郡瀬戸内町実久</t>
        </is>
      </c>
      <c r="L242" s="1">
        <f>HYPERLINK("https://www.hi.u-tokyo.ac.jp/collection/degitalgallary/ryukyu/item/10241", "https://www.hi.u-tokyo.ac.jp/collection/degitalgallary/ryukyu/item/10241")</f>
        <v/>
      </c>
    </row>
    <row r="243">
      <c r="A243" t="inlineStr">
        <is>
          <t>10242</t>
        </is>
      </c>
      <c r="B243" t="inlineStr">
        <is>
          <t>くさせ</t>
        </is>
      </c>
      <c r="C243" t="inlineStr">
        <is>
          <t>干瀬</t>
        </is>
      </c>
      <c r="D243" t="inlineStr"/>
      <c r="E243" t="inlineStr"/>
      <c r="F243" t="inlineStr">
        <is>
          <t>正保琉球国絵図写</t>
        </is>
      </c>
      <c r="G243" t="inlineStr"/>
      <c r="H243" t="inlineStr"/>
      <c r="I243" t="inlineStr">
        <is>
          <t>169</t>
        </is>
      </c>
      <c r="J243" t="inlineStr"/>
      <c r="K243" t="inlineStr"/>
      <c r="L243" s="1">
        <f>HYPERLINK("https://www.hi.u-tokyo.ac.jp/collection/degitalgallary/ryukyu/item/10242", "https://www.hi.u-tokyo.ac.jp/collection/degitalgallary/ryukyu/item/10242")</f>
        <v/>
      </c>
    </row>
    <row r="244">
      <c r="A244" t="inlineStr">
        <is>
          <t>10243</t>
        </is>
      </c>
      <c r="B244" t="inlineStr">
        <is>
          <t>立神</t>
        </is>
      </c>
      <c r="C244" t="inlineStr">
        <is>
          <t>その他</t>
        </is>
      </c>
      <c r="D244" t="inlineStr">
        <is>
          <t>28.2045462</t>
        </is>
      </c>
      <c r="E244" t="inlineStr">
        <is>
          <t>129.209873</t>
        </is>
      </c>
      <c r="F244" t="inlineStr">
        <is>
          <t>正保琉球国絵図写</t>
        </is>
      </c>
      <c r="G244" t="inlineStr"/>
      <c r="H244" t="inlineStr"/>
      <c r="I244" t="inlineStr">
        <is>
          <t>170</t>
        </is>
      </c>
      <c r="J244" t="inlineStr"/>
      <c r="K244" t="inlineStr">
        <is>
          <t>鹿児島県大島郡瀬戸内町芝</t>
        </is>
      </c>
      <c r="L244" s="1">
        <f>HYPERLINK("https://www.hi.u-tokyo.ac.jp/collection/degitalgallary/ryukyu/item/10243", "https://www.hi.u-tokyo.ac.jp/collection/degitalgallary/ryukyu/item/10243")</f>
        <v/>
      </c>
    </row>
    <row r="245">
      <c r="A245" t="inlineStr">
        <is>
          <t>10244</t>
        </is>
      </c>
      <c r="B245" t="inlineStr">
        <is>
          <t>赤崎</t>
        </is>
      </c>
      <c r="C245" t="inlineStr">
        <is>
          <t>崎</t>
        </is>
      </c>
      <c r="D245" t="inlineStr">
        <is>
          <t>28.1992077</t>
        </is>
      </c>
      <c r="E245" t="inlineStr">
        <is>
          <t>129.2092644</t>
        </is>
      </c>
      <c r="F245" t="inlineStr">
        <is>
          <t>正保琉球国絵図写</t>
        </is>
      </c>
      <c r="G245" t="inlineStr"/>
      <c r="H245" t="inlineStr"/>
      <c r="I245" t="inlineStr">
        <is>
          <t>171</t>
        </is>
      </c>
      <c r="J245" t="inlineStr"/>
      <c r="K245" t="inlineStr">
        <is>
          <t>鹿児島県大島郡瀬戸内町芝</t>
        </is>
      </c>
      <c r="L245" s="1">
        <f>HYPERLINK("https://www.hi.u-tokyo.ac.jp/collection/degitalgallary/ryukyu/item/10244", "https://www.hi.u-tokyo.ac.jp/collection/degitalgallary/ryukyu/item/10244")</f>
        <v/>
      </c>
    </row>
    <row r="246">
      <c r="A246" t="inlineStr">
        <is>
          <t>10245</t>
        </is>
      </c>
      <c r="B246" t="inlineStr">
        <is>
          <t>此浦西風北風東風之時船繋リ不成</t>
        </is>
      </c>
      <c r="C246" t="inlineStr">
        <is>
          <t>港湾</t>
        </is>
      </c>
      <c r="D246" t="inlineStr"/>
      <c r="E246" t="inlineStr"/>
      <c r="F246" t="inlineStr">
        <is>
          <t>正保琉球国絵図写</t>
        </is>
      </c>
      <c r="G246" t="inlineStr"/>
      <c r="H246" t="inlineStr"/>
      <c r="I246" t="inlineStr">
        <is>
          <t>172</t>
        </is>
      </c>
      <c r="J246" t="inlineStr"/>
      <c r="K246" t="inlineStr"/>
      <c r="L246" s="1">
        <f>HYPERLINK("https://www.hi.u-tokyo.ac.jp/collection/degitalgallary/ryukyu/item/10245", "https://www.hi.u-tokyo.ac.jp/collection/degitalgallary/ryukyu/item/10245")</f>
        <v/>
      </c>
    </row>
    <row r="247">
      <c r="A247" t="inlineStr">
        <is>
          <t>10246</t>
        </is>
      </c>
      <c r="B247" t="inlineStr">
        <is>
          <t>いなかさ崎</t>
        </is>
      </c>
      <c r="C247" t="inlineStr">
        <is>
          <t>崎</t>
        </is>
      </c>
      <c r="D247" t="inlineStr">
        <is>
          <t>28.1971362</t>
        </is>
      </c>
      <c r="E247" t="inlineStr">
        <is>
          <t>129.2311112</t>
        </is>
      </c>
      <c r="F247" t="inlineStr">
        <is>
          <t>正保琉球国絵図写</t>
        </is>
      </c>
      <c r="G247" t="inlineStr"/>
      <c r="H247" t="inlineStr"/>
      <c r="I247" t="inlineStr">
        <is>
          <t>173</t>
        </is>
      </c>
      <c r="J247" t="inlineStr"/>
      <c r="K247" t="inlineStr">
        <is>
          <t>鹿児島県大島郡瀬戸内町芝</t>
        </is>
      </c>
      <c r="L247" s="1">
        <f>HYPERLINK("https://www.hi.u-tokyo.ac.jp/collection/degitalgallary/ryukyu/item/10246", "https://www.hi.u-tokyo.ac.jp/collection/degitalgallary/ryukyu/item/10246")</f>
        <v/>
      </c>
    </row>
    <row r="248">
      <c r="A248" t="inlineStr">
        <is>
          <t>10247</t>
        </is>
      </c>
      <c r="B248" t="inlineStr">
        <is>
          <t>すけもくの崎</t>
        </is>
      </c>
      <c r="C248" t="inlineStr">
        <is>
          <t>崎</t>
        </is>
      </c>
      <c r="D248" t="inlineStr">
        <is>
          <t>28.1868211</t>
        </is>
      </c>
      <c r="E248" t="inlineStr">
        <is>
          <t>129.2408575</t>
        </is>
      </c>
      <c r="F248" t="inlineStr">
        <is>
          <t>正保琉球国絵図写</t>
        </is>
      </c>
      <c r="G248" t="inlineStr"/>
      <c r="H248" t="inlineStr"/>
      <c r="I248" t="inlineStr">
        <is>
          <t>174</t>
        </is>
      </c>
      <c r="J248" t="inlineStr"/>
      <c r="K248" t="inlineStr">
        <is>
          <t>鹿児島県大島郡瀬戸内町芝</t>
        </is>
      </c>
      <c r="L248" s="1">
        <f>HYPERLINK("https://www.hi.u-tokyo.ac.jp/collection/degitalgallary/ryukyu/item/10247", "https://www.hi.u-tokyo.ac.jp/collection/degitalgallary/ryukyu/item/10247")</f>
        <v/>
      </c>
    </row>
    <row r="249">
      <c r="A249" t="inlineStr">
        <is>
          <t>10248</t>
        </is>
      </c>
      <c r="B249" t="inlineStr">
        <is>
          <t>きさき崎</t>
        </is>
      </c>
      <c r="C249" t="inlineStr">
        <is>
          <t>崎</t>
        </is>
      </c>
      <c r="D249" t="inlineStr">
        <is>
          <t>28.1657112</t>
        </is>
      </c>
      <c r="E249" t="inlineStr">
        <is>
          <t>129.2222481</t>
        </is>
      </c>
      <c r="F249" t="inlineStr">
        <is>
          <t>正保琉球国絵図写</t>
        </is>
      </c>
      <c r="G249" t="inlineStr"/>
      <c r="H249" t="inlineStr"/>
      <c r="I249" t="inlineStr">
        <is>
          <t>175</t>
        </is>
      </c>
      <c r="J249" t="inlineStr"/>
      <c r="K249" t="inlineStr">
        <is>
          <t>鹿児島県大島郡瀬戸内町木慈</t>
        </is>
      </c>
      <c r="L249" s="1">
        <f>HYPERLINK("https://www.hi.u-tokyo.ac.jp/collection/degitalgallary/ryukyu/item/10248", "https://www.hi.u-tokyo.ac.jp/collection/degitalgallary/ryukyu/item/10248")</f>
        <v/>
      </c>
    </row>
    <row r="250">
      <c r="A250" t="inlineStr">
        <is>
          <t>10249</t>
        </is>
      </c>
      <c r="B250" t="inlineStr">
        <is>
          <t>赤崎</t>
        </is>
      </c>
      <c r="C250" t="inlineStr">
        <is>
          <t>崎</t>
        </is>
      </c>
      <c r="D250" t="inlineStr">
        <is>
          <t>28.158005</t>
        </is>
      </c>
      <c r="E250" t="inlineStr">
        <is>
          <t>129.273976</t>
        </is>
      </c>
      <c r="F250" t="inlineStr">
        <is>
          <t>正保琉球国絵図写</t>
        </is>
      </c>
      <c r="G250" t="inlineStr"/>
      <c r="H250" t="inlineStr"/>
      <c r="I250" t="inlineStr">
        <is>
          <t>176</t>
        </is>
      </c>
      <c r="J250" t="inlineStr"/>
      <c r="K250" t="inlineStr">
        <is>
          <t>鹿児島県大島郡瀬戸内町三浦</t>
        </is>
      </c>
      <c r="L250" s="1">
        <f>HYPERLINK("https://www.hi.u-tokyo.ac.jp/collection/degitalgallary/ryukyu/item/10249", "https://www.hi.u-tokyo.ac.jp/collection/degitalgallary/ryukyu/item/10249")</f>
        <v/>
      </c>
    </row>
    <row r="251">
      <c r="A251" t="inlineStr">
        <is>
          <t>10250</t>
        </is>
      </c>
      <c r="B251" t="inlineStr">
        <is>
          <t>通り瀬</t>
        </is>
      </c>
      <c r="C251" t="inlineStr">
        <is>
          <t>干瀬</t>
        </is>
      </c>
      <c r="D251" t="inlineStr">
        <is>
          <t>28.158005</t>
        </is>
      </c>
      <c r="E251" t="inlineStr">
        <is>
          <t>129.273976</t>
        </is>
      </c>
      <c r="F251" t="inlineStr">
        <is>
          <t>正保琉球国絵図写</t>
        </is>
      </c>
      <c r="G251" t="inlineStr"/>
      <c r="H251" t="inlineStr"/>
      <c r="I251" t="inlineStr">
        <is>
          <t>177</t>
        </is>
      </c>
      <c r="J251" t="inlineStr"/>
      <c r="K251" t="inlineStr">
        <is>
          <t>鹿児島県大島郡瀬戸内町三浦</t>
        </is>
      </c>
      <c r="L251" s="1">
        <f>HYPERLINK("https://www.hi.u-tokyo.ac.jp/collection/degitalgallary/ryukyu/item/10250", "https://www.hi.u-tokyo.ac.jp/collection/degitalgallary/ryukyu/item/10250")</f>
        <v/>
      </c>
    </row>
    <row r="252">
      <c r="A252" t="inlineStr">
        <is>
          <t>10251</t>
        </is>
      </c>
      <c r="B252" t="inlineStr">
        <is>
          <t>大そね</t>
        </is>
      </c>
      <c r="C252" t="inlineStr">
        <is>
          <t>その他</t>
        </is>
      </c>
      <c r="D252" t="inlineStr">
        <is>
          <t>28.158005</t>
        </is>
      </c>
      <c r="E252" t="inlineStr">
        <is>
          <t>129.273976</t>
        </is>
      </c>
      <c r="F252" t="inlineStr">
        <is>
          <t>正保琉球国絵図写</t>
        </is>
      </c>
      <c r="G252" t="inlineStr"/>
      <c r="H252" t="inlineStr"/>
      <c r="I252" t="inlineStr">
        <is>
          <t>178</t>
        </is>
      </c>
      <c r="J252" t="inlineStr"/>
      <c r="K252" t="inlineStr">
        <is>
          <t>鹿児島県大島郡瀬戸内町三浦</t>
        </is>
      </c>
      <c r="L252" s="1">
        <f>HYPERLINK("https://www.hi.u-tokyo.ac.jp/collection/degitalgallary/ryukyu/item/10251", "https://www.hi.u-tokyo.ac.jp/collection/degitalgallary/ryukyu/item/10251")</f>
        <v/>
      </c>
    </row>
    <row r="253">
      <c r="A253" t="inlineStr">
        <is>
          <t>10252</t>
        </is>
      </c>
      <c r="B253" t="inlineStr">
        <is>
          <t>西ノ古見湊より住用湊迄、海上十三里</t>
        </is>
      </c>
      <c r="C253" t="inlineStr">
        <is>
          <t>航路</t>
        </is>
      </c>
      <c r="D253" t="inlineStr"/>
      <c r="E253" t="inlineStr"/>
      <c r="F253" t="inlineStr">
        <is>
          <t>正保琉球国絵図写</t>
        </is>
      </c>
      <c r="G253" t="inlineStr"/>
      <c r="H253" t="inlineStr"/>
      <c r="I253" t="inlineStr">
        <is>
          <t>179</t>
        </is>
      </c>
      <c r="J253" t="inlineStr"/>
      <c r="K253" t="inlineStr"/>
      <c r="L253" s="1">
        <f>HYPERLINK("https://www.hi.u-tokyo.ac.jp/collection/degitalgallary/ryukyu/item/10252", "https://www.hi.u-tokyo.ac.jp/collection/degitalgallary/ryukyu/item/10252")</f>
        <v/>
      </c>
    </row>
    <row r="254">
      <c r="A254" t="inlineStr">
        <is>
          <t>10253</t>
        </is>
      </c>
      <c r="B254" t="inlineStr">
        <is>
          <t>ひら小嶋</t>
        </is>
      </c>
      <c r="C254" t="inlineStr">
        <is>
          <t>その他</t>
        </is>
      </c>
      <c r="D254" t="inlineStr">
        <is>
          <t>28.149972</t>
        </is>
      </c>
      <c r="E254" t="inlineStr">
        <is>
          <t>129.277333</t>
        </is>
      </c>
      <c r="F254" t="inlineStr">
        <is>
          <t>正保琉球国絵図写</t>
        </is>
      </c>
      <c r="G254" t="inlineStr"/>
      <c r="H254" t="inlineStr"/>
      <c r="I254" t="inlineStr">
        <is>
          <t>180</t>
        </is>
      </c>
      <c r="J254" t="inlineStr"/>
      <c r="K254" t="inlineStr">
        <is>
          <t>鹿児島県大島郡瀬戸内町三浦</t>
        </is>
      </c>
      <c r="L254" s="1">
        <f>HYPERLINK("https://www.hi.u-tokyo.ac.jp/collection/degitalgallary/ryukyu/item/10253", "https://www.hi.u-tokyo.ac.jp/collection/degitalgallary/ryukyu/item/10253")</f>
        <v/>
      </c>
    </row>
    <row r="255">
      <c r="A255" t="inlineStr">
        <is>
          <t>10254</t>
        </is>
      </c>
      <c r="B255" t="inlineStr">
        <is>
          <t>赤崎</t>
        </is>
      </c>
      <c r="C255" t="inlineStr">
        <is>
          <t>崎</t>
        </is>
      </c>
      <c r="D255" t="inlineStr"/>
      <c r="E255" t="inlineStr"/>
      <c r="F255" t="inlineStr">
        <is>
          <t>正保琉球国絵図写</t>
        </is>
      </c>
      <c r="G255" t="inlineStr"/>
      <c r="H255" t="inlineStr"/>
      <c r="I255" t="inlineStr">
        <is>
          <t>181</t>
        </is>
      </c>
      <c r="J255" t="inlineStr"/>
      <c r="K255" t="inlineStr"/>
      <c r="L255" s="1">
        <f>HYPERLINK("https://www.hi.u-tokyo.ac.jp/collection/degitalgallary/ryukyu/item/10254", "https://www.hi.u-tokyo.ac.jp/collection/degitalgallary/ryukyu/item/10254")</f>
        <v/>
      </c>
    </row>
    <row r="256">
      <c r="A256" t="inlineStr">
        <is>
          <t>10255</t>
        </is>
      </c>
      <c r="B256" t="inlineStr">
        <is>
          <t>あさまちや之崎</t>
        </is>
      </c>
      <c r="C256" t="inlineStr">
        <is>
          <t>崎</t>
        </is>
      </c>
      <c r="D256" t="inlineStr">
        <is>
          <t>28.1319722</t>
        </is>
      </c>
      <c r="E256" t="inlineStr">
        <is>
          <t>129.2491667</t>
        </is>
      </c>
      <c r="F256" t="inlineStr">
        <is>
          <t>正保琉球国絵図写</t>
        </is>
      </c>
      <c r="G256" t="inlineStr"/>
      <c r="H256" t="inlineStr"/>
      <c r="I256" t="inlineStr">
        <is>
          <t>182</t>
        </is>
      </c>
      <c r="J256" t="inlineStr"/>
      <c r="K256" t="inlineStr">
        <is>
          <t>鹿児島県大島郡瀬戸内町瀬相</t>
        </is>
      </c>
      <c r="L256" s="1">
        <f>HYPERLINK("https://www.hi.u-tokyo.ac.jp/collection/degitalgallary/ryukyu/item/10255", "https://www.hi.u-tokyo.ac.jp/collection/degitalgallary/ryukyu/item/10255")</f>
        <v/>
      </c>
    </row>
    <row r="257">
      <c r="A257" t="inlineStr">
        <is>
          <t>10256</t>
        </is>
      </c>
      <c r="B257" t="inlineStr">
        <is>
          <t>大嶋之内　かけろま嶋、嶋廻り拾五里</t>
        </is>
      </c>
      <c r="C257" t="inlineStr">
        <is>
          <t>島</t>
        </is>
      </c>
      <c r="D257" t="inlineStr">
        <is>
          <t>28.1167565</t>
        </is>
      </c>
      <c r="E257" t="inlineStr">
        <is>
          <t>129.242746</t>
        </is>
      </c>
      <c r="F257" t="inlineStr">
        <is>
          <t>正保琉球国絵図写</t>
        </is>
      </c>
      <c r="G257" t="inlineStr"/>
      <c r="H257" t="inlineStr"/>
      <c r="I257" t="inlineStr">
        <is>
          <t>183</t>
        </is>
      </c>
      <c r="J257" t="inlineStr"/>
      <c r="K257" t="inlineStr">
        <is>
          <t>鹿児島県大島郡瀬戸内町瀬相</t>
        </is>
      </c>
      <c r="L257" s="1">
        <f>HYPERLINK("https://www.hi.u-tokyo.ac.jp/collection/degitalgallary/ryukyu/item/10256", "https://www.hi.u-tokyo.ac.jp/collection/degitalgallary/ryukyu/item/10256")</f>
        <v/>
      </c>
    </row>
    <row r="258">
      <c r="A258" t="inlineStr">
        <is>
          <t>10257</t>
        </is>
      </c>
      <c r="B258" t="inlineStr">
        <is>
          <t>大崎</t>
        </is>
      </c>
      <c r="C258" t="inlineStr">
        <is>
          <t>崎</t>
        </is>
      </c>
      <c r="D258" t="inlineStr"/>
      <c r="E258" t="inlineStr"/>
      <c r="F258" t="inlineStr">
        <is>
          <t>正保琉球国絵図写</t>
        </is>
      </c>
      <c r="G258" t="inlineStr"/>
      <c r="H258" t="inlineStr"/>
      <c r="I258" t="inlineStr">
        <is>
          <t>184</t>
        </is>
      </c>
      <c r="J258" t="inlineStr"/>
      <c r="K258" t="inlineStr"/>
      <c r="L258" s="1">
        <f>HYPERLINK("https://www.hi.u-tokyo.ac.jp/collection/degitalgallary/ryukyu/item/10257", "https://www.hi.u-tokyo.ac.jp/collection/degitalgallary/ryukyu/item/10257")</f>
        <v/>
      </c>
    </row>
    <row r="259">
      <c r="A259" t="inlineStr">
        <is>
          <t>10258</t>
        </is>
      </c>
      <c r="B259" t="inlineStr">
        <is>
          <t>竹崎</t>
        </is>
      </c>
      <c r="C259" t="inlineStr">
        <is>
          <t>崎</t>
        </is>
      </c>
      <c r="D259" t="inlineStr">
        <is>
          <t>28.1238333</t>
        </is>
      </c>
      <c r="E259" t="inlineStr">
        <is>
          <t>129.2735556</t>
        </is>
      </c>
      <c r="F259" t="inlineStr">
        <is>
          <t>正保琉球国絵図写</t>
        </is>
      </c>
      <c r="G259" t="inlineStr"/>
      <c r="H259" t="inlineStr"/>
      <c r="I259" t="inlineStr">
        <is>
          <t>185</t>
        </is>
      </c>
      <c r="J259" t="inlineStr"/>
      <c r="K259" t="inlineStr">
        <is>
          <t>鹿児島県大島郡瀬戸内町押角</t>
        </is>
      </c>
      <c r="L259" s="1">
        <f>HYPERLINK("https://www.hi.u-tokyo.ac.jp/collection/degitalgallary/ryukyu/item/10258", "https://www.hi.u-tokyo.ac.jp/collection/degitalgallary/ryukyu/item/10258")</f>
        <v/>
      </c>
    </row>
    <row r="260">
      <c r="A260" t="inlineStr">
        <is>
          <t>10259</t>
        </is>
      </c>
      <c r="B260" t="inlineStr">
        <is>
          <t>しらき崎</t>
        </is>
      </c>
      <c r="C260" t="inlineStr">
        <is>
          <t>崎</t>
        </is>
      </c>
      <c r="D260" t="inlineStr">
        <is>
          <t>28.1247778</t>
        </is>
      </c>
      <c r="E260" t="inlineStr">
        <is>
          <t>129.2875556</t>
        </is>
      </c>
      <c r="F260" t="inlineStr">
        <is>
          <t>正保琉球国絵図写</t>
        </is>
      </c>
      <c r="G260" t="inlineStr"/>
      <c r="H260" t="inlineStr"/>
      <c r="I260" t="inlineStr">
        <is>
          <t>186</t>
        </is>
      </c>
      <c r="J260" t="inlineStr"/>
      <c r="K260" t="inlineStr">
        <is>
          <t>鹿児島県大島郡瀬戸内町勝能</t>
        </is>
      </c>
      <c r="L260" s="1">
        <f>HYPERLINK("https://www.hi.u-tokyo.ac.jp/collection/degitalgallary/ryukyu/item/10259", "https://www.hi.u-tokyo.ac.jp/collection/degitalgallary/ryukyu/item/10259")</f>
        <v/>
      </c>
    </row>
    <row r="261">
      <c r="A261" t="inlineStr">
        <is>
          <t>10260</t>
        </is>
      </c>
      <c r="B261" t="inlineStr">
        <is>
          <t>のゝ崎</t>
        </is>
      </c>
      <c r="C261" t="inlineStr">
        <is>
          <t>崎</t>
        </is>
      </c>
      <c r="D261" t="inlineStr"/>
      <c r="E261" t="inlineStr"/>
      <c r="F261" t="inlineStr">
        <is>
          <t>正保琉球国絵図写</t>
        </is>
      </c>
      <c r="G261" t="inlineStr"/>
      <c r="H261" t="inlineStr"/>
      <c r="I261" t="inlineStr">
        <is>
          <t>187</t>
        </is>
      </c>
      <c r="J261" t="inlineStr"/>
      <c r="K261" t="inlineStr"/>
      <c r="L261" s="1">
        <f>HYPERLINK("https://www.hi.u-tokyo.ac.jp/collection/degitalgallary/ryukyu/item/10260", "https://www.hi.u-tokyo.ac.jp/collection/degitalgallary/ryukyu/item/10260")</f>
        <v/>
      </c>
    </row>
    <row r="262">
      <c r="A262" t="inlineStr">
        <is>
          <t>10261</t>
        </is>
      </c>
      <c r="B262" t="inlineStr">
        <is>
          <t>とん崎</t>
        </is>
      </c>
      <c r="C262" t="inlineStr">
        <is>
          <t>崎</t>
        </is>
      </c>
      <c r="D262" t="inlineStr"/>
      <c r="E262" t="inlineStr"/>
      <c r="F262" t="inlineStr">
        <is>
          <t>正保琉球国絵図写</t>
        </is>
      </c>
      <c r="G262" t="inlineStr"/>
      <c r="H262" t="inlineStr"/>
      <c r="I262" t="inlineStr">
        <is>
          <t>188</t>
        </is>
      </c>
      <c r="J262" t="inlineStr"/>
      <c r="K262" t="inlineStr"/>
      <c r="L262" s="1">
        <f>HYPERLINK("https://www.hi.u-tokyo.ac.jp/collection/degitalgallary/ryukyu/item/10261", "https://www.hi.u-tokyo.ac.jp/collection/degitalgallary/ryukyu/item/10261")</f>
        <v/>
      </c>
    </row>
    <row r="263">
      <c r="A263" t="inlineStr">
        <is>
          <t>10262</t>
        </is>
      </c>
      <c r="B263" t="inlineStr">
        <is>
          <t>みんせ</t>
        </is>
      </c>
      <c r="C263" t="inlineStr">
        <is>
          <t>干瀬</t>
        </is>
      </c>
      <c r="D263" t="inlineStr">
        <is>
          <t>28.1048056</t>
        </is>
      </c>
      <c r="E263" t="inlineStr">
        <is>
          <t>129.3544167</t>
        </is>
      </c>
      <c r="F263" t="inlineStr">
        <is>
          <t>正保琉球国絵図写</t>
        </is>
      </c>
      <c r="G263" t="inlineStr"/>
      <c r="H263" t="inlineStr"/>
      <c r="I263" t="inlineStr">
        <is>
          <t>189</t>
        </is>
      </c>
      <c r="J263" t="inlineStr"/>
      <c r="K263" t="inlineStr">
        <is>
          <t>鹿児島県大島郡瀬戸内町渡連</t>
        </is>
      </c>
      <c r="L263" s="1">
        <f>HYPERLINK("https://www.hi.u-tokyo.ac.jp/collection/degitalgallary/ryukyu/item/10262", "https://www.hi.u-tokyo.ac.jp/collection/degitalgallary/ryukyu/item/10262")</f>
        <v/>
      </c>
    </row>
    <row r="264">
      <c r="A264" t="inlineStr">
        <is>
          <t>10263</t>
        </is>
      </c>
      <c r="B264" t="inlineStr">
        <is>
          <t>くせ</t>
        </is>
      </c>
      <c r="C264" t="inlineStr">
        <is>
          <t>干瀬</t>
        </is>
      </c>
      <c r="D264" t="inlineStr">
        <is>
          <t>28.0971667</t>
        </is>
      </c>
      <c r="E264" t="inlineStr">
        <is>
          <t>129.3598611</t>
        </is>
      </c>
      <c r="F264" t="inlineStr">
        <is>
          <t>正保琉球国絵図写</t>
        </is>
      </c>
      <c r="G264" t="inlineStr"/>
      <c r="H264" t="inlineStr"/>
      <c r="I264" t="inlineStr">
        <is>
          <t>190</t>
        </is>
      </c>
      <c r="J264" t="inlineStr"/>
      <c r="K264" t="inlineStr">
        <is>
          <t>鹿児島県大島郡瀬戸内町渡連</t>
        </is>
      </c>
      <c r="L264" s="1">
        <f>HYPERLINK("https://www.hi.u-tokyo.ac.jp/collection/degitalgallary/ryukyu/item/10263", "https://www.hi.u-tokyo.ac.jp/collection/degitalgallary/ryukyu/item/10263")</f>
        <v/>
      </c>
    </row>
    <row r="265">
      <c r="A265" t="inlineStr">
        <is>
          <t>10264</t>
        </is>
      </c>
      <c r="B265" t="inlineStr">
        <is>
          <t>かめ瀬</t>
        </is>
      </c>
      <c r="C265" t="inlineStr">
        <is>
          <t>干瀬</t>
        </is>
      </c>
      <c r="D265" t="inlineStr">
        <is>
          <t>28.095</t>
        </is>
      </c>
      <c r="E265" t="inlineStr">
        <is>
          <t>129.3482778</t>
        </is>
      </c>
      <c r="F265" t="inlineStr">
        <is>
          <t>正保琉球国絵図写</t>
        </is>
      </c>
      <c r="G265" t="inlineStr"/>
      <c r="H265" t="inlineStr"/>
      <c r="I265" t="inlineStr">
        <is>
          <t>191</t>
        </is>
      </c>
      <c r="J265" t="inlineStr"/>
      <c r="K265" t="inlineStr">
        <is>
          <t>鹿児島県大島郡瀬戸内町諸鈍</t>
        </is>
      </c>
      <c r="L265" s="1">
        <f>HYPERLINK("https://www.hi.u-tokyo.ac.jp/collection/degitalgallary/ryukyu/item/10264", "https://www.hi.u-tokyo.ac.jp/collection/degitalgallary/ryukyu/item/10264")</f>
        <v/>
      </c>
    </row>
    <row r="266">
      <c r="A266" t="inlineStr">
        <is>
          <t>10265</t>
        </is>
      </c>
      <c r="B266" t="inlineStr">
        <is>
          <t>平瀬</t>
        </is>
      </c>
      <c r="C266" t="inlineStr">
        <is>
          <t>干瀬</t>
        </is>
      </c>
      <c r="D266" t="inlineStr">
        <is>
          <t>28.0899167</t>
        </is>
      </c>
      <c r="E266" t="inlineStr">
        <is>
          <t>129.3454722</t>
        </is>
      </c>
      <c r="F266" t="inlineStr">
        <is>
          <t>正保琉球国絵図写</t>
        </is>
      </c>
      <c r="G266" t="inlineStr"/>
      <c r="H266" t="inlineStr"/>
      <c r="I266" t="inlineStr">
        <is>
          <t>192</t>
        </is>
      </c>
      <c r="J266" t="inlineStr"/>
      <c r="K266" t="inlineStr">
        <is>
          <t>鹿児島県大島郡瀬戸内町諸鈍</t>
        </is>
      </c>
      <c r="L266" s="1">
        <f>HYPERLINK("https://www.hi.u-tokyo.ac.jp/collection/degitalgallary/ryukyu/item/10265", "https://www.hi.u-tokyo.ac.jp/collection/degitalgallary/ryukyu/item/10265")</f>
        <v/>
      </c>
    </row>
    <row r="267">
      <c r="A267" t="inlineStr">
        <is>
          <t>10266</t>
        </is>
      </c>
      <c r="B267" t="inlineStr">
        <is>
          <t>大立神</t>
        </is>
      </c>
      <c r="C267" t="inlineStr">
        <is>
          <t>その他</t>
        </is>
      </c>
      <c r="D267" t="inlineStr">
        <is>
          <t>28.07625</t>
        </is>
      </c>
      <c r="E267" t="inlineStr">
        <is>
          <t>129.3406667</t>
        </is>
      </c>
      <c r="F267" t="inlineStr">
        <is>
          <t>正保琉球国絵図写</t>
        </is>
      </c>
      <c r="G267" t="inlineStr"/>
      <c r="H267" t="inlineStr"/>
      <c r="I267" t="inlineStr">
        <is>
          <t>193</t>
        </is>
      </c>
      <c r="J267" t="inlineStr"/>
      <c r="K267" t="inlineStr">
        <is>
          <t>鹿児島県大島郡瀬戸内町諸鈍</t>
        </is>
      </c>
      <c r="L267" s="1">
        <f>HYPERLINK("https://www.hi.u-tokyo.ac.jp/collection/degitalgallary/ryukyu/item/10266", "https://www.hi.u-tokyo.ac.jp/collection/degitalgallary/ryukyu/item/10266")</f>
        <v/>
      </c>
    </row>
    <row r="268">
      <c r="A268" t="inlineStr">
        <is>
          <t>10267</t>
        </is>
      </c>
      <c r="B268" t="inlineStr">
        <is>
          <t>とく浜</t>
        </is>
      </c>
      <c r="C268" t="inlineStr">
        <is>
          <t>その他</t>
        </is>
      </c>
      <c r="D268" t="inlineStr"/>
      <c r="E268" t="inlineStr"/>
      <c r="F268" t="inlineStr">
        <is>
          <t>正保琉球国絵図写</t>
        </is>
      </c>
      <c r="G268" t="inlineStr"/>
      <c r="H268" t="inlineStr"/>
      <c r="I268" t="inlineStr"/>
      <c r="J268" t="inlineStr"/>
      <c r="K268" t="inlineStr"/>
      <c r="L268" s="1">
        <f>HYPERLINK("https://www.hi.u-tokyo.ac.jp/collection/degitalgallary/ryukyu/item/10267", "https://www.hi.u-tokyo.ac.jp/collection/degitalgallary/ryukyu/item/10267")</f>
        <v/>
      </c>
    </row>
    <row r="269">
      <c r="A269" t="inlineStr">
        <is>
          <t>10268</t>
        </is>
      </c>
      <c r="B269" t="inlineStr">
        <is>
          <t>二ツ瀬</t>
        </is>
      </c>
      <c r="C269" t="inlineStr">
        <is>
          <t>干瀬</t>
        </is>
      </c>
      <c r="D269" t="inlineStr">
        <is>
          <t>28.0621389</t>
        </is>
      </c>
      <c r="E269" t="inlineStr">
        <is>
          <t>129.3181944</t>
        </is>
      </c>
      <c r="F269" t="inlineStr">
        <is>
          <t>正保琉球国絵図写</t>
        </is>
      </c>
      <c r="G269" t="inlineStr"/>
      <c r="H269" t="inlineStr"/>
      <c r="I269" t="inlineStr">
        <is>
          <t>194</t>
        </is>
      </c>
      <c r="J269" t="inlineStr"/>
      <c r="K269" t="inlineStr">
        <is>
          <t>鹿児島県大島郡瀬戸内町諸鈍</t>
        </is>
      </c>
      <c r="L269" s="1">
        <f>HYPERLINK("https://www.hi.u-tokyo.ac.jp/collection/degitalgallary/ryukyu/item/10268", "https://www.hi.u-tokyo.ac.jp/collection/degitalgallary/ryukyu/item/10268")</f>
        <v/>
      </c>
    </row>
    <row r="270">
      <c r="A270" t="inlineStr">
        <is>
          <t>10269</t>
        </is>
      </c>
      <c r="B270" t="inlineStr">
        <is>
          <t>長浜</t>
        </is>
      </c>
      <c r="C270" t="inlineStr">
        <is>
          <t>その他</t>
        </is>
      </c>
      <c r="D270" t="inlineStr">
        <is>
          <t>28.0686111</t>
        </is>
      </c>
      <c r="E270" t="inlineStr">
        <is>
          <t>129.3213611</t>
        </is>
      </c>
      <c r="F270" t="inlineStr">
        <is>
          <t>正保琉球国絵図写</t>
        </is>
      </c>
      <c r="G270" t="inlineStr"/>
      <c r="H270" t="inlineStr"/>
      <c r="I270" t="inlineStr">
        <is>
          <t>195</t>
        </is>
      </c>
      <c r="J270" t="inlineStr"/>
      <c r="K270" t="inlineStr">
        <is>
          <t>鹿児島県大島郡瀬戸内町諸鈍</t>
        </is>
      </c>
      <c r="L270" s="1">
        <f>HYPERLINK("https://www.hi.u-tokyo.ac.jp/collection/degitalgallary/ryukyu/item/10269", "https://www.hi.u-tokyo.ac.jp/collection/degitalgallary/ryukyu/item/10269")</f>
        <v/>
      </c>
    </row>
    <row r="271">
      <c r="A271" t="inlineStr">
        <is>
          <t>10270</t>
        </is>
      </c>
      <c r="B271" t="inlineStr">
        <is>
          <t>かまひせ</t>
        </is>
      </c>
      <c r="C271" t="inlineStr">
        <is>
          <t>干瀬</t>
        </is>
      </c>
      <c r="D271" t="inlineStr">
        <is>
          <t>28.0857778</t>
        </is>
      </c>
      <c r="E271" t="inlineStr">
        <is>
          <t>129.2903889</t>
        </is>
      </c>
      <c r="F271" t="inlineStr">
        <is>
          <t>正保琉球国絵図写</t>
        </is>
      </c>
      <c r="G271" t="inlineStr"/>
      <c r="H271" t="inlineStr"/>
      <c r="I271" t="inlineStr">
        <is>
          <t>196</t>
        </is>
      </c>
      <c r="J271" t="inlineStr"/>
      <c r="K271" t="inlineStr">
        <is>
          <t>鹿児島県大島郡瀬戸内町秋徳</t>
        </is>
      </c>
      <c r="L271" s="1">
        <f>HYPERLINK("https://www.hi.u-tokyo.ac.jp/collection/degitalgallary/ryukyu/item/10270", "https://www.hi.u-tokyo.ac.jp/collection/degitalgallary/ryukyu/item/10270")</f>
        <v/>
      </c>
    </row>
    <row r="272">
      <c r="A272" t="inlineStr">
        <is>
          <t>10271</t>
        </is>
      </c>
      <c r="B272" t="inlineStr">
        <is>
          <t>平瀬</t>
        </is>
      </c>
      <c r="C272" t="inlineStr">
        <is>
          <t>干瀬</t>
        </is>
      </c>
      <c r="D272" t="inlineStr"/>
      <c r="E272" t="inlineStr"/>
      <c r="F272" t="inlineStr">
        <is>
          <t>正保琉球国絵図写</t>
        </is>
      </c>
      <c r="G272" t="inlineStr"/>
      <c r="H272" t="inlineStr"/>
      <c r="I272" t="inlineStr">
        <is>
          <t>197</t>
        </is>
      </c>
      <c r="J272" t="inlineStr"/>
      <c r="K272" t="inlineStr"/>
      <c r="L272" s="1">
        <f>HYPERLINK("https://www.hi.u-tokyo.ac.jp/collection/degitalgallary/ryukyu/item/10271", "https://www.hi.u-tokyo.ac.jp/collection/degitalgallary/ryukyu/item/10271")</f>
        <v/>
      </c>
    </row>
    <row r="273">
      <c r="A273" t="inlineStr">
        <is>
          <t>10272</t>
        </is>
      </c>
      <c r="B273" t="inlineStr">
        <is>
          <t>地のはなれ</t>
        </is>
      </c>
      <c r="C273" t="inlineStr">
        <is>
          <t>その他</t>
        </is>
      </c>
      <c r="D273" t="inlineStr"/>
      <c r="E273" t="inlineStr"/>
      <c r="F273" t="inlineStr">
        <is>
          <t>正保琉球国絵図写</t>
        </is>
      </c>
      <c r="G273" t="inlineStr"/>
      <c r="H273" t="inlineStr"/>
      <c r="I273" t="inlineStr">
        <is>
          <t>198</t>
        </is>
      </c>
      <c r="J273" t="inlineStr"/>
      <c r="K273" t="inlineStr"/>
      <c r="L273" s="1">
        <f>HYPERLINK("https://www.hi.u-tokyo.ac.jp/collection/degitalgallary/ryukyu/item/10272", "https://www.hi.u-tokyo.ac.jp/collection/degitalgallary/ryukyu/item/10272")</f>
        <v/>
      </c>
    </row>
    <row r="274">
      <c r="A274" t="inlineStr">
        <is>
          <t>10273</t>
        </is>
      </c>
      <c r="B274" t="inlineStr">
        <is>
          <t>くさ瀬</t>
        </is>
      </c>
      <c r="C274" t="inlineStr">
        <is>
          <t>干瀬</t>
        </is>
      </c>
      <c r="D274" t="inlineStr"/>
      <c r="E274" t="inlineStr"/>
      <c r="F274" t="inlineStr">
        <is>
          <t>正保琉球国絵図写</t>
        </is>
      </c>
      <c r="G274" t="inlineStr"/>
      <c r="H274" t="inlineStr"/>
      <c r="I274" t="inlineStr">
        <is>
          <t>199</t>
        </is>
      </c>
      <c r="J274" t="inlineStr"/>
      <c r="K274" t="inlineStr"/>
      <c r="L274" s="1">
        <f>HYPERLINK("https://www.hi.u-tokyo.ac.jp/collection/degitalgallary/ryukyu/item/10273", "https://www.hi.u-tokyo.ac.jp/collection/degitalgallary/ryukyu/item/10273")</f>
        <v/>
      </c>
    </row>
    <row r="275">
      <c r="A275" t="inlineStr">
        <is>
          <t>10274</t>
        </is>
      </c>
      <c r="B275" t="inlineStr">
        <is>
          <t>赤崎</t>
        </is>
      </c>
      <c r="C275" t="inlineStr">
        <is>
          <t>崎</t>
        </is>
      </c>
      <c r="D275" t="inlineStr"/>
      <c r="E275" t="inlineStr"/>
      <c r="F275" t="inlineStr">
        <is>
          <t>正保琉球国絵図写</t>
        </is>
      </c>
      <c r="G275" t="inlineStr"/>
      <c r="H275" t="inlineStr"/>
      <c r="I275" t="inlineStr">
        <is>
          <t>200</t>
        </is>
      </c>
      <c r="J275" t="inlineStr"/>
      <c r="K275" t="inlineStr"/>
      <c r="L275" s="1">
        <f>HYPERLINK("https://www.hi.u-tokyo.ac.jp/collection/degitalgallary/ryukyu/item/10274", "https://www.hi.u-tokyo.ac.jp/collection/degitalgallary/ryukyu/item/10274")</f>
        <v/>
      </c>
    </row>
    <row r="276">
      <c r="A276" t="inlineStr">
        <is>
          <t>10275</t>
        </is>
      </c>
      <c r="B276" t="inlineStr">
        <is>
          <t>此間十五町</t>
        </is>
      </c>
      <c r="C276" t="inlineStr">
        <is>
          <t>その他</t>
        </is>
      </c>
      <c r="D276" t="inlineStr"/>
      <c r="E276" t="inlineStr"/>
      <c r="F276" t="inlineStr">
        <is>
          <t>正保琉球国絵図写</t>
        </is>
      </c>
      <c r="G276" t="inlineStr"/>
      <c r="H276" t="inlineStr"/>
      <c r="I276" t="inlineStr">
        <is>
          <t>201</t>
        </is>
      </c>
      <c r="J276" t="inlineStr"/>
      <c r="K276" t="inlineStr"/>
      <c r="L276" s="1">
        <f>HYPERLINK("https://www.hi.u-tokyo.ac.jp/collection/degitalgallary/ryukyu/item/10275", "https://www.hi.u-tokyo.ac.jp/collection/degitalgallary/ryukyu/item/10275")</f>
        <v/>
      </c>
    </row>
    <row r="277">
      <c r="A277" t="inlineStr">
        <is>
          <t>10276</t>
        </is>
      </c>
      <c r="B277" t="inlineStr">
        <is>
          <t>すりかふ瀬</t>
        </is>
      </c>
      <c r="C277" t="inlineStr">
        <is>
          <t>干瀬</t>
        </is>
      </c>
      <c r="D277" t="inlineStr">
        <is>
          <t>28.085924</t>
        </is>
      </c>
      <c r="E277" t="inlineStr">
        <is>
          <t>129.21231</t>
        </is>
      </c>
      <c r="F277" t="inlineStr">
        <is>
          <t>正保琉球国絵図写</t>
        </is>
      </c>
      <c r="G277" t="inlineStr"/>
      <c r="H277" t="inlineStr"/>
      <c r="I277" t="inlineStr">
        <is>
          <t>202</t>
        </is>
      </c>
      <c r="J277" t="inlineStr"/>
      <c r="K277" t="inlineStr">
        <is>
          <t>鹿児島県大島郡瀬戸内町西阿室</t>
        </is>
      </c>
      <c r="L277" s="1">
        <f>HYPERLINK("https://www.hi.u-tokyo.ac.jp/collection/degitalgallary/ryukyu/item/10276", "https://www.hi.u-tokyo.ac.jp/collection/degitalgallary/ryukyu/item/10276")</f>
        <v/>
      </c>
    </row>
    <row r="278">
      <c r="A278" t="inlineStr">
        <is>
          <t>10277</t>
        </is>
      </c>
      <c r="B278" t="inlineStr">
        <is>
          <t>立神</t>
        </is>
      </c>
      <c r="C278" t="inlineStr">
        <is>
          <t>その他</t>
        </is>
      </c>
      <c r="D278" t="inlineStr">
        <is>
          <t>28.1606097</t>
        </is>
      </c>
      <c r="E278" t="inlineStr">
        <is>
          <t>129.1848649</t>
        </is>
      </c>
      <c r="F278" t="inlineStr">
        <is>
          <t>正保琉球国絵図写</t>
        </is>
      </c>
      <c r="G278" t="inlineStr"/>
      <c r="H278" t="inlineStr"/>
      <c r="I278" t="inlineStr">
        <is>
          <t>203</t>
        </is>
      </c>
      <c r="J278" t="inlineStr"/>
      <c r="K278" t="inlineStr">
        <is>
          <t>鹿児島県大島郡瀬戸内町薩川</t>
        </is>
      </c>
      <c r="L278" s="1">
        <f>HYPERLINK("https://www.hi.u-tokyo.ac.jp/collection/degitalgallary/ryukyu/item/10277", "https://www.hi.u-tokyo.ac.jp/collection/degitalgallary/ryukyu/item/10277")</f>
        <v/>
      </c>
    </row>
    <row r="279">
      <c r="A279" t="inlineStr">
        <is>
          <t>10278</t>
        </is>
      </c>
      <c r="B279" t="inlineStr">
        <is>
          <t>やんま崎</t>
        </is>
      </c>
      <c r="C279" t="inlineStr">
        <is>
          <t>崎</t>
        </is>
      </c>
      <c r="D279" t="inlineStr"/>
      <c r="E279" t="inlineStr"/>
      <c r="F279" t="inlineStr">
        <is>
          <t>正保琉球国絵図写</t>
        </is>
      </c>
      <c r="G279" t="inlineStr"/>
      <c r="H279" t="inlineStr"/>
      <c r="I279" t="inlineStr">
        <is>
          <t>204</t>
        </is>
      </c>
      <c r="J279" t="inlineStr"/>
      <c r="K279" t="inlineStr"/>
      <c r="L279" s="1">
        <f>HYPERLINK("https://www.hi.u-tokyo.ac.jp/collection/degitalgallary/ryukyu/item/10278", "https://www.hi.u-tokyo.ac.jp/collection/degitalgallary/ryukyu/item/10278")</f>
        <v/>
      </c>
    </row>
    <row r="280">
      <c r="A280" t="inlineStr">
        <is>
          <t>10279</t>
        </is>
      </c>
      <c r="B280" t="inlineStr">
        <is>
          <t>立神</t>
        </is>
      </c>
      <c r="C280" t="inlineStr">
        <is>
          <t>その他</t>
        </is>
      </c>
      <c r="D280" t="inlineStr"/>
      <c r="E280" t="inlineStr"/>
      <c r="F280" t="inlineStr">
        <is>
          <t>正保琉球国絵図写</t>
        </is>
      </c>
      <c r="G280" t="inlineStr"/>
      <c r="H280" t="inlineStr"/>
      <c r="I280" t="inlineStr">
        <is>
          <t>205</t>
        </is>
      </c>
      <c r="J280" t="inlineStr"/>
      <c r="K280" t="inlineStr"/>
      <c r="L280" s="1">
        <f>HYPERLINK("https://www.hi.u-tokyo.ac.jp/collection/degitalgallary/ryukyu/item/10279", "https://www.hi.u-tokyo.ac.jp/collection/degitalgallary/ryukyu/item/10279")</f>
        <v/>
      </c>
    </row>
    <row r="281">
      <c r="A281" t="inlineStr">
        <is>
          <t>10280</t>
        </is>
      </c>
      <c r="B281" t="inlineStr">
        <is>
          <t>此間壱里</t>
        </is>
      </c>
      <c r="C281" t="inlineStr">
        <is>
          <t>その他</t>
        </is>
      </c>
      <c r="D281" t="inlineStr"/>
      <c r="E281" t="inlineStr"/>
      <c r="F281" t="inlineStr">
        <is>
          <t>正保琉球国絵図写</t>
        </is>
      </c>
      <c r="G281" t="inlineStr"/>
      <c r="H281" t="inlineStr"/>
      <c r="I281" t="inlineStr">
        <is>
          <t>206</t>
        </is>
      </c>
      <c r="J281" t="inlineStr"/>
      <c r="K281" t="inlineStr"/>
      <c r="L281" s="1">
        <f>HYPERLINK("https://www.hi.u-tokyo.ac.jp/collection/degitalgallary/ryukyu/item/10280", "https://www.hi.u-tokyo.ac.jp/collection/degitalgallary/ryukyu/item/10280")</f>
        <v/>
      </c>
    </row>
    <row r="282">
      <c r="A282" t="inlineStr">
        <is>
          <t>10281</t>
        </is>
      </c>
      <c r="B282" t="inlineStr">
        <is>
          <t>こは嶋</t>
        </is>
      </c>
      <c r="C282" t="inlineStr">
        <is>
          <t>島</t>
        </is>
      </c>
      <c r="D282" t="inlineStr"/>
      <c r="E282" t="inlineStr"/>
      <c r="F282" t="inlineStr">
        <is>
          <t>正保琉球国絵図写</t>
        </is>
      </c>
      <c r="G282" t="inlineStr">
        <is>
          <t>人居なし</t>
        </is>
      </c>
      <c r="H282" t="inlineStr"/>
      <c r="I282" t="inlineStr">
        <is>
          <t>207</t>
        </is>
      </c>
      <c r="J282" t="inlineStr"/>
      <c r="K282" t="inlineStr"/>
      <c r="L282" s="1">
        <f>HYPERLINK("https://www.hi.u-tokyo.ac.jp/collection/degitalgallary/ryukyu/item/10281", "https://www.hi.u-tokyo.ac.jp/collection/degitalgallary/ryukyu/item/10281")</f>
        <v/>
      </c>
    </row>
    <row r="283">
      <c r="A283" t="inlineStr">
        <is>
          <t>10282</t>
        </is>
      </c>
      <c r="B283" t="inlineStr">
        <is>
          <t>おかみ山</t>
        </is>
      </c>
      <c r="C283" t="inlineStr">
        <is>
          <t>その他</t>
        </is>
      </c>
      <c r="D283" t="inlineStr"/>
      <c r="E283" t="inlineStr"/>
      <c r="F283" t="inlineStr">
        <is>
          <t>正保琉球国絵図写</t>
        </is>
      </c>
      <c r="G283" t="inlineStr"/>
      <c r="H283" t="inlineStr"/>
      <c r="I283" t="inlineStr">
        <is>
          <t>208</t>
        </is>
      </c>
      <c r="J283" t="inlineStr"/>
      <c r="K283" t="inlineStr"/>
      <c r="L283" s="1">
        <f>HYPERLINK("https://www.hi.u-tokyo.ac.jp/collection/degitalgallary/ryukyu/item/10282", "https://www.hi.u-tokyo.ac.jp/collection/degitalgallary/ryukyu/item/10282")</f>
        <v/>
      </c>
    </row>
    <row r="284">
      <c r="A284" t="inlineStr">
        <is>
          <t>10283</t>
        </is>
      </c>
      <c r="B284" t="inlineStr">
        <is>
          <t>どく瀬</t>
        </is>
      </c>
      <c r="C284" t="inlineStr">
        <is>
          <t>干瀬</t>
        </is>
      </c>
      <c r="D284" t="inlineStr"/>
      <c r="E284" t="inlineStr"/>
      <c r="F284" t="inlineStr">
        <is>
          <t>正保琉球国絵図写</t>
        </is>
      </c>
      <c r="G284" t="inlineStr"/>
      <c r="H284" t="inlineStr"/>
      <c r="I284" t="inlineStr">
        <is>
          <t>209</t>
        </is>
      </c>
      <c r="J284" t="inlineStr"/>
      <c r="K284" t="inlineStr"/>
      <c r="L284" s="1">
        <f>HYPERLINK("https://www.hi.u-tokyo.ac.jp/collection/degitalgallary/ryukyu/item/10283", "https://www.hi.u-tokyo.ac.jp/collection/degitalgallary/ryukyu/item/10283")</f>
        <v/>
      </c>
    </row>
    <row r="285">
      <c r="A285" t="inlineStr">
        <is>
          <t>10284</t>
        </is>
      </c>
      <c r="B285" t="inlineStr">
        <is>
          <t>すこもはなれ</t>
        </is>
      </c>
      <c r="C285" t="inlineStr">
        <is>
          <t>島</t>
        </is>
      </c>
      <c r="D285" t="inlineStr">
        <is>
          <t>28.1191215</t>
        </is>
      </c>
      <c r="E285" t="inlineStr">
        <is>
          <t>129.1670465</t>
        </is>
      </c>
      <c r="F285" t="inlineStr">
        <is>
          <t>正保琉球国絵図写</t>
        </is>
      </c>
      <c r="G285" t="inlineStr">
        <is>
          <t>人居なし</t>
        </is>
      </c>
      <c r="H285" t="inlineStr"/>
      <c r="I285" t="inlineStr">
        <is>
          <t>210</t>
        </is>
      </c>
      <c r="J285" t="inlineStr"/>
      <c r="K285" t="inlineStr">
        <is>
          <t>鹿児島県大島郡瀬戸内町須子茂</t>
        </is>
      </c>
      <c r="L285" s="1">
        <f>HYPERLINK("https://www.hi.u-tokyo.ac.jp/collection/degitalgallary/ryukyu/item/10284", "https://www.hi.u-tokyo.ac.jp/collection/degitalgallary/ryukyu/item/10284")</f>
        <v/>
      </c>
    </row>
    <row r="286">
      <c r="A286" t="inlineStr">
        <is>
          <t>10285</t>
        </is>
      </c>
      <c r="B286" t="inlineStr">
        <is>
          <t>こは尻</t>
        </is>
      </c>
      <c r="C286" t="inlineStr">
        <is>
          <t>その他</t>
        </is>
      </c>
      <c r="D286" t="inlineStr">
        <is>
          <t>28.120218</t>
        </is>
      </c>
      <c r="E286" t="inlineStr">
        <is>
          <t>129.159308</t>
        </is>
      </c>
      <c r="F286" t="inlineStr">
        <is>
          <t>正保琉球国絵図写</t>
        </is>
      </c>
      <c r="G286" t="inlineStr"/>
      <c r="H286" t="inlineStr"/>
      <c r="I286" t="inlineStr">
        <is>
          <t>211</t>
        </is>
      </c>
      <c r="J286" t="inlineStr"/>
      <c r="K286" t="inlineStr"/>
      <c r="L286" s="1">
        <f>HYPERLINK("https://www.hi.u-tokyo.ac.jp/collection/degitalgallary/ryukyu/item/10285", "https://www.hi.u-tokyo.ac.jp/collection/degitalgallary/ryukyu/item/10285")</f>
        <v/>
      </c>
    </row>
    <row r="287">
      <c r="A287" t="inlineStr">
        <is>
          <t>10286</t>
        </is>
      </c>
      <c r="B287" t="inlineStr">
        <is>
          <t>こきかゝりの崎</t>
        </is>
      </c>
      <c r="C287" t="inlineStr">
        <is>
          <t>崎</t>
        </is>
      </c>
      <c r="D287" t="inlineStr"/>
      <c r="E287" t="inlineStr"/>
      <c r="F287" t="inlineStr">
        <is>
          <t>正保琉球国絵図写</t>
        </is>
      </c>
      <c r="G287" t="inlineStr"/>
      <c r="H287" t="inlineStr"/>
      <c r="I287" t="inlineStr">
        <is>
          <t>212</t>
        </is>
      </c>
      <c r="J287" t="inlineStr"/>
      <c r="K287" t="inlineStr"/>
      <c r="L287" s="1">
        <f>HYPERLINK("https://www.hi.u-tokyo.ac.jp/collection/degitalgallary/ryukyu/item/10286", "https://www.hi.u-tokyo.ac.jp/collection/degitalgallary/ryukyu/item/10286")</f>
        <v/>
      </c>
    </row>
    <row r="288">
      <c r="A288" t="inlineStr">
        <is>
          <t>10287</t>
        </is>
      </c>
      <c r="B288" t="inlineStr">
        <is>
          <t>西之古見湊よりうけの嶋迄、海上七里</t>
        </is>
      </c>
      <c r="C288" t="inlineStr">
        <is>
          <t>航路</t>
        </is>
      </c>
      <c r="D288" t="inlineStr"/>
      <c r="E288" t="inlineStr"/>
      <c r="F288" t="inlineStr">
        <is>
          <t>正保琉球国絵図写</t>
        </is>
      </c>
      <c r="G288" t="inlineStr"/>
      <c r="H288" t="inlineStr"/>
      <c r="I288" t="inlineStr">
        <is>
          <t>213</t>
        </is>
      </c>
      <c r="J288" t="inlineStr"/>
      <c r="K288" t="inlineStr"/>
      <c r="L288" s="1">
        <f>HYPERLINK("https://www.hi.u-tokyo.ac.jp/collection/degitalgallary/ryukyu/item/10287", "https://www.hi.u-tokyo.ac.jp/collection/degitalgallary/ryukyu/item/10287")</f>
        <v/>
      </c>
    </row>
    <row r="289">
      <c r="A289" t="inlineStr">
        <is>
          <t>10288</t>
        </is>
      </c>
      <c r="B289" t="inlineStr">
        <is>
          <t>西之古見湊よりよろの嶋迄、海上六里</t>
        </is>
      </c>
      <c r="C289" t="inlineStr">
        <is>
          <t>航路</t>
        </is>
      </c>
      <c r="D289" t="inlineStr"/>
      <c r="E289" t="inlineStr"/>
      <c r="F289" t="inlineStr">
        <is>
          <t>正保琉球国絵図写</t>
        </is>
      </c>
      <c r="G289" t="inlineStr"/>
      <c r="H289" t="inlineStr"/>
      <c r="I289" t="inlineStr">
        <is>
          <t>214</t>
        </is>
      </c>
      <c r="J289" t="inlineStr"/>
      <c r="K289" t="inlineStr"/>
      <c r="L289" s="1">
        <f>HYPERLINK("https://www.hi.u-tokyo.ac.jp/collection/degitalgallary/ryukyu/item/10288", "https://www.hi.u-tokyo.ac.jp/collection/degitalgallary/ryukyu/item/10288")</f>
        <v/>
      </c>
    </row>
    <row r="290">
      <c r="A290" t="inlineStr">
        <is>
          <t>10289</t>
        </is>
      </c>
      <c r="B290" t="inlineStr">
        <is>
          <t>大嶋之内</t>
        </is>
      </c>
      <c r="C290" t="inlineStr">
        <is>
          <t>島</t>
        </is>
      </c>
      <c r="D290" t="inlineStr">
        <is>
          <t>28.0246255</t>
        </is>
      </c>
      <c r="E290" t="inlineStr">
        <is>
          <t>129.2531353</t>
        </is>
      </c>
      <c r="F290" t="inlineStr">
        <is>
          <t>正保琉球国絵図写</t>
        </is>
      </c>
      <c r="G290" t="inlineStr">
        <is>
          <t>うけの嶋、嶋廻四里九町</t>
        </is>
      </c>
      <c r="H290" t="inlineStr"/>
      <c r="I290" t="inlineStr">
        <is>
          <t>215</t>
        </is>
      </c>
      <c r="J290" t="inlineStr"/>
      <c r="K290" t="inlineStr">
        <is>
          <t>鹿児島県大島郡瀬戸内町請阿室</t>
        </is>
      </c>
      <c r="L290" s="1">
        <f>HYPERLINK("https://www.hi.u-tokyo.ac.jp/collection/degitalgallary/ryukyu/item/10289", "https://www.hi.u-tokyo.ac.jp/collection/degitalgallary/ryukyu/item/10289")</f>
        <v/>
      </c>
    </row>
    <row r="291">
      <c r="A291" t="inlineStr">
        <is>
          <t>10290</t>
        </is>
      </c>
      <c r="B291" t="inlineStr">
        <is>
          <t>池</t>
        </is>
      </c>
      <c r="C291" t="inlineStr">
        <is>
          <t>その他</t>
        </is>
      </c>
      <c r="D291" t="inlineStr"/>
      <c r="E291" t="inlineStr"/>
      <c r="F291" t="inlineStr">
        <is>
          <t>正保琉球国絵図写</t>
        </is>
      </c>
      <c r="G291" t="inlineStr"/>
      <c r="H291" t="inlineStr"/>
      <c r="I291" t="inlineStr">
        <is>
          <t>216</t>
        </is>
      </c>
      <c r="J291" t="inlineStr"/>
      <c r="K291" t="inlineStr"/>
      <c r="L291" s="1">
        <f>HYPERLINK("https://www.hi.u-tokyo.ac.jp/collection/degitalgallary/ryukyu/item/10290", "https://www.hi.u-tokyo.ac.jp/collection/degitalgallary/ryukyu/item/10290")</f>
        <v/>
      </c>
    </row>
    <row r="292">
      <c r="A292" t="inlineStr">
        <is>
          <t>10291</t>
        </is>
      </c>
      <c r="B292" t="inlineStr">
        <is>
          <t>くしら瀬</t>
        </is>
      </c>
      <c r="C292" t="inlineStr">
        <is>
          <t>干瀬</t>
        </is>
      </c>
      <c r="D292" t="inlineStr">
        <is>
          <t>28.0533351</t>
        </is>
      </c>
      <c r="E292" t="inlineStr">
        <is>
          <t>129.2150045</t>
        </is>
      </c>
      <c r="F292" t="inlineStr">
        <is>
          <t>正保琉球国絵図写</t>
        </is>
      </c>
      <c r="G292" t="inlineStr"/>
      <c r="H292" t="inlineStr"/>
      <c r="I292" t="inlineStr">
        <is>
          <t>217</t>
        </is>
      </c>
      <c r="J292" t="inlineStr"/>
      <c r="K292" t="inlineStr">
        <is>
          <t>鹿児島県大島郡瀬戸内町池地</t>
        </is>
      </c>
      <c r="L292" s="1">
        <f>HYPERLINK("https://www.hi.u-tokyo.ac.jp/collection/degitalgallary/ryukyu/item/10291", "https://www.hi.u-tokyo.ac.jp/collection/degitalgallary/ryukyu/item/10291")</f>
        <v/>
      </c>
    </row>
    <row r="293">
      <c r="A293" t="inlineStr">
        <is>
          <t>10292</t>
        </is>
      </c>
      <c r="B293" t="inlineStr">
        <is>
          <t>遠干潟</t>
        </is>
      </c>
      <c r="C293" t="inlineStr">
        <is>
          <t>干瀬</t>
        </is>
      </c>
      <c r="D293" t="inlineStr">
        <is>
          <t>28.0355165</t>
        </is>
      </c>
      <c r="E293" t="inlineStr">
        <is>
          <t>129.2331926</t>
        </is>
      </c>
      <c r="F293" t="inlineStr">
        <is>
          <t>正保琉球国絵図写</t>
        </is>
      </c>
      <c r="G293" t="inlineStr"/>
      <c r="H293" t="inlineStr"/>
      <c r="I293" t="inlineStr">
        <is>
          <t>218</t>
        </is>
      </c>
      <c r="J293" t="inlineStr"/>
      <c r="K293" t="inlineStr">
        <is>
          <t>鹿児島県大島郡瀬戸内町池地</t>
        </is>
      </c>
      <c r="L293" s="1">
        <f>HYPERLINK("https://www.hi.u-tokyo.ac.jp/collection/degitalgallary/ryukyu/item/10292", "https://www.hi.u-tokyo.ac.jp/collection/degitalgallary/ryukyu/item/10292")</f>
        <v/>
      </c>
    </row>
    <row r="294">
      <c r="A294" t="inlineStr">
        <is>
          <t>10293</t>
        </is>
      </c>
      <c r="B294" t="inlineStr">
        <is>
          <t>たんせ</t>
        </is>
      </c>
      <c r="C294" t="inlineStr">
        <is>
          <t>干瀬</t>
        </is>
      </c>
      <c r="D294" t="inlineStr">
        <is>
          <t>28.0507362</t>
        </is>
      </c>
      <c r="E294" t="inlineStr">
        <is>
          <t>129.2513483</t>
        </is>
      </c>
      <c r="F294" t="inlineStr">
        <is>
          <t>正保琉球国絵図写</t>
        </is>
      </c>
      <c r="G294" t="inlineStr"/>
      <c r="H294" t="inlineStr"/>
      <c r="I294" t="inlineStr">
        <is>
          <t>219</t>
        </is>
      </c>
      <c r="J294" t="inlineStr"/>
      <c r="K294" t="inlineStr">
        <is>
          <t>鹿児島県大島郡瀬戸内町池地</t>
        </is>
      </c>
      <c r="L294" s="1">
        <f>HYPERLINK("https://www.hi.u-tokyo.ac.jp/collection/degitalgallary/ryukyu/item/10293", "https://www.hi.u-tokyo.ac.jp/collection/degitalgallary/ryukyu/item/10293")</f>
        <v/>
      </c>
    </row>
    <row r="295">
      <c r="A295" t="inlineStr">
        <is>
          <t>10294</t>
        </is>
      </c>
      <c r="B295" t="inlineStr">
        <is>
          <t>池</t>
        </is>
      </c>
      <c r="C295" t="inlineStr">
        <is>
          <t>その他</t>
        </is>
      </c>
      <c r="D295" t="inlineStr"/>
      <c r="E295" t="inlineStr"/>
      <c r="F295" t="inlineStr">
        <is>
          <t>正保琉球国絵図写</t>
        </is>
      </c>
      <c r="G295" t="inlineStr"/>
      <c r="H295" t="inlineStr"/>
      <c r="I295" t="inlineStr">
        <is>
          <t>220</t>
        </is>
      </c>
      <c r="J295" t="inlineStr"/>
      <c r="K295" t="inlineStr"/>
      <c r="L295" s="1">
        <f>HYPERLINK("https://www.hi.u-tokyo.ac.jp/collection/degitalgallary/ryukyu/item/10294", "https://www.hi.u-tokyo.ac.jp/collection/degitalgallary/ryukyu/item/10294")</f>
        <v/>
      </c>
    </row>
    <row r="296">
      <c r="A296" t="inlineStr">
        <is>
          <t>10295</t>
        </is>
      </c>
      <c r="B296" t="inlineStr">
        <is>
          <t>くしらまの崎</t>
        </is>
      </c>
      <c r="C296" t="inlineStr">
        <is>
          <t>崎</t>
        </is>
      </c>
      <c r="D296" t="inlineStr">
        <is>
          <t>28.0362135</t>
        </is>
      </c>
      <c r="E296" t="inlineStr">
        <is>
          <t>129.2647782</t>
        </is>
      </c>
      <c r="F296" t="inlineStr">
        <is>
          <t>正保琉球国絵図写</t>
        </is>
      </c>
      <c r="G296" t="inlineStr"/>
      <c r="H296" t="inlineStr"/>
      <c r="I296" t="inlineStr">
        <is>
          <t>221</t>
        </is>
      </c>
      <c r="J296" t="inlineStr"/>
      <c r="K296" t="inlineStr">
        <is>
          <t>鹿児島県大島郡瀬戸内町請阿室</t>
        </is>
      </c>
      <c r="L296" s="1">
        <f>HYPERLINK("https://www.hi.u-tokyo.ac.jp/collection/degitalgallary/ryukyu/item/10295", "https://www.hi.u-tokyo.ac.jp/collection/degitalgallary/ryukyu/item/10295")</f>
        <v/>
      </c>
    </row>
    <row r="297">
      <c r="A297" t="inlineStr">
        <is>
          <t>10296</t>
        </is>
      </c>
      <c r="B297" t="inlineStr">
        <is>
          <t>此間五町</t>
        </is>
      </c>
      <c r="C297" t="inlineStr">
        <is>
          <t>その他</t>
        </is>
      </c>
      <c r="D297" t="inlineStr"/>
      <c r="E297" t="inlineStr"/>
      <c r="F297" t="inlineStr">
        <is>
          <t>正保琉球国絵図写</t>
        </is>
      </c>
      <c r="G297" t="inlineStr"/>
      <c r="H297" t="inlineStr"/>
      <c r="I297" t="inlineStr">
        <is>
          <t>222</t>
        </is>
      </c>
      <c r="J297" t="inlineStr"/>
      <c r="K297" t="inlineStr"/>
      <c r="L297" s="1">
        <f>HYPERLINK("https://www.hi.u-tokyo.ac.jp/collection/degitalgallary/ryukyu/item/10296", "https://www.hi.u-tokyo.ac.jp/collection/degitalgallary/ryukyu/item/10296")</f>
        <v/>
      </c>
    </row>
    <row r="298">
      <c r="A298" t="inlineStr">
        <is>
          <t>10297</t>
        </is>
      </c>
      <c r="B298" t="inlineStr">
        <is>
          <t>かいま</t>
        </is>
      </c>
      <c r="C298" t="inlineStr">
        <is>
          <t>島</t>
        </is>
      </c>
      <c r="D298" t="inlineStr">
        <is>
          <t>28.0225133</t>
        </is>
      </c>
      <c r="E298" t="inlineStr">
        <is>
          <t>129.275016</t>
        </is>
      </c>
      <c r="F298" t="inlineStr">
        <is>
          <t>正保琉球国絵図写</t>
        </is>
      </c>
      <c r="G298" t="inlineStr">
        <is>
          <t>人居なし</t>
        </is>
      </c>
      <c r="H298" t="inlineStr"/>
      <c r="I298" t="inlineStr">
        <is>
          <t>223</t>
        </is>
      </c>
      <c r="J298" t="inlineStr"/>
      <c r="K298" t="inlineStr">
        <is>
          <t>鹿児島県大島郡瀬戸内町請阿室</t>
        </is>
      </c>
      <c r="L298" s="1">
        <f>HYPERLINK("https://www.hi.u-tokyo.ac.jp/collection/degitalgallary/ryukyu/item/10297", "https://www.hi.u-tokyo.ac.jp/collection/degitalgallary/ryukyu/item/10297")</f>
        <v/>
      </c>
    </row>
    <row r="299">
      <c r="A299" t="inlineStr">
        <is>
          <t>10298</t>
        </is>
      </c>
      <c r="B299" t="inlineStr">
        <is>
          <t>鳥瀬</t>
        </is>
      </c>
      <c r="C299" t="inlineStr">
        <is>
          <t>干瀬</t>
        </is>
      </c>
      <c r="D299" t="inlineStr">
        <is>
          <t>28.0082893</t>
        </is>
      </c>
      <c r="E299" t="inlineStr">
        <is>
          <t>129.2684225</t>
        </is>
      </c>
      <c r="F299" t="inlineStr">
        <is>
          <t>正保琉球国絵図写</t>
        </is>
      </c>
      <c r="G299" t="inlineStr"/>
      <c r="H299" t="inlineStr"/>
      <c r="I299" t="inlineStr">
        <is>
          <t>224</t>
        </is>
      </c>
      <c r="J299" t="inlineStr"/>
      <c r="K299" t="inlineStr">
        <is>
          <t>鹿児島県大島郡瀬戸内町請阿室</t>
        </is>
      </c>
      <c r="L299" s="1">
        <f>HYPERLINK("https://www.hi.u-tokyo.ac.jp/collection/degitalgallary/ryukyu/item/10298", "https://www.hi.u-tokyo.ac.jp/collection/degitalgallary/ryukyu/item/10298")</f>
        <v/>
      </c>
    </row>
    <row r="300">
      <c r="A300" t="inlineStr">
        <is>
          <t>10299</t>
        </is>
      </c>
      <c r="B300" t="inlineStr">
        <is>
          <t>ちやなれのくわ</t>
        </is>
      </c>
      <c r="C300" t="inlineStr">
        <is>
          <t>その他</t>
        </is>
      </c>
      <c r="D300" t="inlineStr">
        <is>
          <t>28.003203</t>
        </is>
      </c>
      <c r="E300" t="inlineStr">
        <is>
          <t>129.255130</t>
        </is>
      </c>
      <c r="F300" t="inlineStr">
        <is>
          <t>正保琉球国絵図写</t>
        </is>
      </c>
      <c r="G300" t="inlineStr"/>
      <c r="H300" t="inlineStr"/>
      <c r="I300" t="inlineStr">
        <is>
          <t>225</t>
        </is>
      </c>
      <c r="J300" t="inlineStr"/>
      <c r="K300" t="inlineStr">
        <is>
          <t>鹿児島県大島郡瀬戸内町請阿室</t>
        </is>
      </c>
      <c r="L300" s="1">
        <f>HYPERLINK("https://www.hi.u-tokyo.ac.jp/collection/degitalgallary/ryukyu/item/10299", "https://www.hi.u-tokyo.ac.jp/collection/degitalgallary/ryukyu/item/10299")</f>
        <v/>
      </c>
    </row>
    <row r="301">
      <c r="A301" t="inlineStr">
        <is>
          <t>10300</t>
        </is>
      </c>
      <c r="B301" t="inlineStr">
        <is>
          <t>くらせのはな</t>
        </is>
      </c>
      <c r="C301" t="inlineStr">
        <is>
          <t>その他</t>
        </is>
      </c>
      <c r="D301" t="inlineStr">
        <is>
          <t>28.0056969</t>
        </is>
      </c>
      <c r="E301" t="inlineStr">
        <is>
          <t>129.2545089</t>
        </is>
      </c>
      <c r="F301" t="inlineStr">
        <is>
          <t>正保琉球国絵図写</t>
        </is>
      </c>
      <c r="G301" t="inlineStr"/>
      <c r="H301" t="inlineStr"/>
      <c r="I301" t="inlineStr">
        <is>
          <t>226</t>
        </is>
      </c>
      <c r="J301" t="inlineStr"/>
      <c r="K301" t="inlineStr"/>
      <c r="L301" s="1">
        <f>HYPERLINK("https://www.hi.u-tokyo.ac.jp/collection/degitalgallary/ryukyu/item/10300", "https://www.hi.u-tokyo.ac.jp/collection/degitalgallary/ryukyu/item/10300")</f>
        <v/>
      </c>
    </row>
    <row r="302">
      <c r="A302" t="inlineStr">
        <is>
          <t>10301</t>
        </is>
      </c>
      <c r="B302" t="inlineStr">
        <is>
          <t>たにま</t>
        </is>
      </c>
      <c r="C302" t="inlineStr">
        <is>
          <t>その他</t>
        </is>
      </c>
      <c r="D302" t="inlineStr">
        <is>
          <t>28.0142585</t>
        </is>
      </c>
      <c r="E302" t="inlineStr">
        <is>
          <t>129.2371877</t>
        </is>
      </c>
      <c r="F302" t="inlineStr">
        <is>
          <t>正保琉球国絵図写</t>
        </is>
      </c>
      <c r="G302" t="inlineStr"/>
      <c r="H302" t="inlineStr"/>
      <c r="I302" t="inlineStr">
        <is>
          <t>227</t>
        </is>
      </c>
      <c r="J302" t="inlineStr"/>
      <c r="K302" t="inlineStr">
        <is>
          <t>鹿児島県大島郡瀬戸内町請阿室</t>
        </is>
      </c>
      <c r="L302" s="1">
        <f>HYPERLINK("https://www.hi.u-tokyo.ac.jp/collection/degitalgallary/ryukyu/item/10301", "https://www.hi.u-tokyo.ac.jp/collection/degitalgallary/ryukyu/item/10301")</f>
        <v/>
      </c>
    </row>
    <row r="303">
      <c r="A303" t="inlineStr">
        <is>
          <t>10302</t>
        </is>
      </c>
      <c r="B303" t="inlineStr">
        <is>
          <t>やんま崎</t>
        </is>
      </c>
      <c r="C303" t="inlineStr">
        <is>
          <t>崎</t>
        </is>
      </c>
      <c r="D303" t="inlineStr">
        <is>
          <t>28.0234942</t>
        </is>
      </c>
      <c r="E303" t="inlineStr">
        <is>
          <t>129.2139252</t>
        </is>
      </c>
      <c r="F303" t="inlineStr">
        <is>
          <t>正保琉球国絵図写</t>
        </is>
      </c>
      <c r="G303" t="inlineStr"/>
      <c r="H303" t="inlineStr"/>
      <c r="I303" t="inlineStr">
        <is>
          <t>228</t>
        </is>
      </c>
      <c r="J303" t="inlineStr"/>
      <c r="K303" t="inlineStr">
        <is>
          <t>鹿児島県大島郡瀬戸内町池地</t>
        </is>
      </c>
      <c r="L303" s="1">
        <f>HYPERLINK("https://www.hi.u-tokyo.ac.jp/collection/degitalgallary/ryukyu/item/10302", "https://www.hi.u-tokyo.ac.jp/collection/degitalgallary/ryukyu/item/10302")</f>
        <v/>
      </c>
    </row>
    <row r="304">
      <c r="A304" t="inlineStr">
        <is>
          <t>10303</t>
        </is>
      </c>
      <c r="B304" t="inlineStr">
        <is>
          <t>かたき崎</t>
        </is>
      </c>
      <c r="C304" t="inlineStr">
        <is>
          <t>崎</t>
        </is>
      </c>
      <c r="D304" t="inlineStr"/>
      <c r="E304" t="inlineStr"/>
      <c r="F304" t="inlineStr">
        <is>
          <t>正保琉球国絵図写</t>
        </is>
      </c>
      <c r="G304" t="inlineStr"/>
      <c r="H304" t="inlineStr"/>
      <c r="I304" t="inlineStr">
        <is>
          <t>229</t>
        </is>
      </c>
      <c r="J304" t="inlineStr"/>
      <c r="K304" t="inlineStr"/>
      <c r="L304" s="1">
        <f>HYPERLINK("https://www.hi.u-tokyo.ac.jp/collection/degitalgallary/ryukyu/item/10303", "https://www.hi.u-tokyo.ac.jp/collection/degitalgallary/ryukyu/item/10303")</f>
        <v/>
      </c>
    </row>
    <row r="305">
      <c r="A305" t="inlineStr">
        <is>
          <t>10304</t>
        </is>
      </c>
      <c r="B305" t="inlineStr">
        <is>
          <t>此間廿町</t>
        </is>
      </c>
      <c r="C305" t="inlineStr">
        <is>
          <t>その他</t>
        </is>
      </c>
      <c r="D305" t="inlineStr"/>
      <c r="E305" t="inlineStr"/>
      <c r="F305" t="inlineStr">
        <is>
          <t>正保琉球国絵図写</t>
        </is>
      </c>
      <c r="G305" t="inlineStr"/>
      <c r="H305" t="inlineStr"/>
      <c r="I305" t="inlineStr">
        <is>
          <t>230</t>
        </is>
      </c>
      <c r="J305" t="inlineStr"/>
      <c r="K305" t="inlineStr"/>
      <c r="L305" s="1">
        <f>HYPERLINK("https://www.hi.u-tokyo.ac.jp/collection/degitalgallary/ryukyu/item/10304", "https://www.hi.u-tokyo.ac.jp/collection/degitalgallary/ryukyu/item/10304")</f>
        <v/>
      </c>
    </row>
    <row r="306">
      <c r="A306" t="inlineStr">
        <is>
          <t>10305</t>
        </is>
      </c>
      <c r="B306" t="inlineStr">
        <is>
          <t>大嶋之内
よろノ嶋、嶋廻三里廿町</t>
        </is>
      </c>
      <c r="C306" t="inlineStr">
        <is>
          <t>島</t>
        </is>
      </c>
      <c r="D306" t="inlineStr">
        <is>
          <t>28.0365881</t>
        </is>
      </c>
      <c r="E306" t="inlineStr">
        <is>
          <t>129.1595703</t>
        </is>
      </c>
      <c r="F306" t="inlineStr">
        <is>
          <t>正保琉球国絵図写</t>
        </is>
      </c>
      <c r="G306" t="inlineStr"/>
      <c r="H306" t="inlineStr"/>
      <c r="I306" t="inlineStr">
        <is>
          <t>231</t>
        </is>
      </c>
      <c r="J306" t="inlineStr"/>
      <c r="K306" t="inlineStr">
        <is>
          <t>鹿児島県大島郡瀬戸内町与路</t>
        </is>
      </c>
      <c r="L306" s="1">
        <f>HYPERLINK("https://www.hi.u-tokyo.ac.jp/collection/degitalgallary/ryukyu/item/10305", "https://www.hi.u-tokyo.ac.jp/collection/degitalgallary/ryukyu/item/10305")</f>
        <v/>
      </c>
    </row>
    <row r="307">
      <c r="A307" t="inlineStr">
        <is>
          <t>10306</t>
        </is>
      </c>
      <c r="B307" t="inlineStr">
        <is>
          <t>このみね</t>
        </is>
      </c>
      <c r="C307" t="inlineStr">
        <is>
          <t>その他</t>
        </is>
      </c>
      <c r="D307" t="inlineStr">
        <is>
          <t>28.0298375</t>
        </is>
      </c>
      <c r="E307" t="inlineStr">
        <is>
          <t>129.1590682</t>
        </is>
      </c>
      <c r="F307" t="inlineStr">
        <is>
          <t>正保琉球国絵図写</t>
        </is>
      </c>
      <c r="G307" t="inlineStr"/>
      <c r="H307" t="inlineStr"/>
      <c r="I307" t="inlineStr">
        <is>
          <t>232</t>
        </is>
      </c>
      <c r="J307" t="inlineStr"/>
      <c r="K307" t="inlineStr">
        <is>
          <t>鹿児島県大島郡瀬戸内町与路</t>
        </is>
      </c>
      <c r="L307" s="1">
        <f>HYPERLINK("https://www.hi.u-tokyo.ac.jp/collection/degitalgallary/ryukyu/item/10306", "https://www.hi.u-tokyo.ac.jp/collection/degitalgallary/ryukyu/item/10306")</f>
        <v/>
      </c>
    </row>
    <row r="308">
      <c r="A308" t="inlineStr">
        <is>
          <t>10307</t>
        </is>
      </c>
      <c r="B308" t="inlineStr">
        <is>
          <t>大瀬</t>
        </is>
      </c>
      <c r="C308" t="inlineStr">
        <is>
          <t>干瀬</t>
        </is>
      </c>
      <c r="D308" t="inlineStr">
        <is>
          <t>28.0683294</t>
        </is>
      </c>
      <c r="E308" t="inlineStr">
        <is>
          <t>129.171493</t>
        </is>
      </c>
      <c r="F308" t="inlineStr">
        <is>
          <t>正保琉球国絵図写</t>
        </is>
      </c>
      <c r="G308" t="inlineStr"/>
      <c r="H308" t="inlineStr"/>
      <c r="I308" t="inlineStr">
        <is>
          <t>233</t>
        </is>
      </c>
      <c r="J308" t="inlineStr"/>
      <c r="K308" t="inlineStr">
        <is>
          <t>鹿児島県大島郡瀬戸内町与路</t>
        </is>
      </c>
      <c r="L308" s="1">
        <f>HYPERLINK("https://www.hi.u-tokyo.ac.jp/collection/degitalgallary/ryukyu/item/10307", "https://www.hi.u-tokyo.ac.jp/collection/degitalgallary/ryukyu/item/10307")</f>
        <v/>
      </c>
    </row>
    <row r="309">
      <c r="A309" t="inlineStr">
        <is>
          <t>10308</t>
        </is>
      </c>
      <c r="B309" t="inlineStr">
        <is>
          <t xml:space="preserve">立瀬　</t>
        </is>
      </c>
      <c r="C309" t="inlineStr">
        <is>
          <t>干瀬</t>
        </is>
      </c>
      <c r="D309" t="inlineStr">
        <is>
          <t>28.0584373</t>
        </is>
      </c>
      <c r="E309" t="inlineStr">
        <is>
          <t>129.1759185</t>
        </is>
      </c>
      <c r="F309" t="inlineStr">
        <is>
          <t>正保琉球国絵図写</t>
        </is>
      </c>
      <c r="G309" t="inlineStr"/>
      <c r="H309" t="inlineStr"/>
      <c r="I309" t="inlineStr">
        <is>
          <t>234</t>
        </is>
      </c>
      <c r="J309" t="inlineStr"/>
      <c r="K309" t="inlineStr"/>
      <c r="L309" s="1">
        <f>HYPERLINK("https://www.hi.u-tokyo.ac.jp/collection/degitalgallary/ryukyu/item/10308", "https://www.hi.u-tokyo.ac.jp/collection/degitalgallary/ryukyu/item/10308")</f>
        <v/>
      </c>
    </row>
    <row r="310">
      <c r="A310" t="inlineStr">
        <is>
          <t>10309</t>
        </is>
      </c>
      <c r="B310" t="inlineStr">
        <is>
          <t>しよひやの崎</t>
        </is>
      </c>
      <c r="C310" t="inlineStr">
        <is>
          <t>崎</t>
        </is>
      </c>
      <c r="D310" t="inlineStr">
        <is>
          <t>28.0491515</t>
        </is>
      </c>
      <c r="E310" t="inlineStr">
        <is>
          <t>129.1775864</t>
        </is>
      </c>
      <c r="F310" t="inlineStr">
        <is>
          <t>正保琉球国絵図写</t>
        </is>
      </c>
      <c r="G310" t="inlineStr"/>
      <c r="H310" t="inlineStr"/>
      <c r="I310" t="inlineStr">
        <is>
          <t>235</t>
        </is>
      </c>
      <c r="J310" t="inlineStr"/>
      <c r="K310" t="inlineStr">
        <is>
          <t>鹿児島県大島郡瀬戸内町与路</t>
        </is>
      </c>
      <c r="L310" s="1">
        <f>HYPERLINK("https://www.hi.u-tokyo.ac.jp/collection/degitalgallary/ryukyu/item/10309", "https://www.hi.u-tokyo.ac.jp/collection/degitalgallary/ryukyu/item/10309")</f>
        <v/>
      </c>
    </row>
    <row r="311">
      <c r="A311" t="inlineStr">
        <is>
          <t>10310</t>
        </is>
      </c>
      <c r="B311" t="inlineStr">
        <is>
          <t>うす瀬</t>
        </is>
      </c>
      <c r="C311" t="inlineStr">
        <is>
          <t>干瀬</t>
        </is>
      </c>
      <c r="D311" t="inlineStr">
        <is>
          <t>28.0158133</t>
        </is>
      </c>
      <c r="E311" t="inlineStr">
        <is>
          <t>129.1594657</t>
        </is>
      </c>
      <c r="F311" t="inlineStr">
        <is>
          <t>正保琉球国絵図写</t>
        </is>
      </c>
      <c r="G311" t="inlineStr"/>
      <c r="H311" t="inlineStr"/>
      <c r="I311" t="inlineStr">
        <is>
          <t>236</t>
        </is>
      </c>
      <c r="J311" t="inlineStr"/>
      <c r="K311" t="inlineStr">
        <is>
          <t>鹿児島県大島郡瀬戸内町与路</t>
        </is>
      </c>
      <c r="L311" s="1">
        <f>HYPERLINK("https://www.hi.u-tokyo.ac.jp/collection/degitalgallary/ryukyu/item/10310", "https://www.hi.u-tokyo.ac.jp/collection/degitalgallary/ryukyu/item/10310")</f>
        <v/>
      </c>
    </row>
    <row r="312">
      <c r="A312" t="inlineStr">
        <is>
          <t>10311</t>
        </is>
      </c>
      <c r="B312" t="inlineStr">
        <is>
          <t>立神</t>
        </is>
      </c>
      <c r="C312" t="inlineStr">
        <is>
          <t>その他</t>
        </is>
      </c>
      <c r="D312" t="inlineStr">
        <is>
          <t>28.012937</t>
        </is>
      </c>
      <c r="E312" t="inlineStr">
        <is>
          <t>129.1466962</t>
        </is>
      </c>
      <c r="F312" t="inlineStr">
        <is>
          <t>正保琉球国絵図写</t>
        </is>
      </c>
      <c r="G312" t="inlineStr"/>
      <c r="H312" t="inlineStr"/>
      <c r="I312" t="inlineStr">
        <is>
          <t>237</t>
        </is>
      </c>
      <c r="J312" t="inlineStr"/>
      <c r="K312" t="inlineStr">
        <is>
          <t>鹿児島県大島郡瀬戸内町与路</t>
        </is>
      </c>
      <c r="L312" s="1">
        <f>HYPERLINK("https://www.hi.u-tokyo.ac.jp/collection/degitalgallary/ryukyu/item/10311", "https://www.hi.u-tokyo.ac.jp/collection/degitalgallary/ryukyu/item/10311")</f>
        <v/>
      </c>
    </row>
    <row r="313">
      <c r="A313" t="inlineStr">
        <is>
          <t>10312</t>
        </is>
      </c>
      <c r="B313" t="inlineStr">
        <is>
          <t>小平瀬</t>
        </is>
      </c>
      <c r="C313" t="inlineStr">
        <is>
          <t>干瀬</t>
        </is>
      </c>
      <c r="D313" t="inlineStr">
        <is>
          <t>28.0102079</t>
        </is>
      </c>
      <c r="E313" t="inlineStr">
        <is>
          <t>129.1440595</t>
        </is>
      </c>
      <c r="F313" t="inlineStr">
        <is>
          <t>正保琉球国絵図写</t>
        </is>
      </c>
      <c r="G313" t="inlineStr"/>
      <c r="H313" t="inlineStr"/>
      <c r="I313" t="inlineStr">
        <is>
          <t>238</t>
        </is>
      </c>
      <c r="J313" t="inlineStr"/>
      <c r="K313" t="inlineStr"/>
      <c r="L313" s="1">
        <f>HYPERLINK("https://www.hi.u-tokyo.ac.jp/collection/degitalgallary/ryukyu/item/10312", "https://www.hi.u-tokyo.ac.jp/collection/degitalgallary/ryukyu/item/10312")</f>
        <v/>
      </c>
    </row>
    <row r="314">
      <c r="A314" t="inlineStr">
        <is>
          <t>10313</t>
        </is>
      </c>
      <c r="B314" t="inlineStr">
        <is>
          <t>一ツ瀬</t>
        </is>
      </c>
      <c r="C314" t="inlineStr">
        <is>
          <t>干瀬</t>
        </is>
      </c>
      <c r="D314" t="inlineStr">
        <is>
          <t>28.0267796</t>
        </is>
      </c>
      <c r="E314" t="inlineStr">
        <is>
          <t>129.1433624</t>
        </is>
      </c>
      <c r="F314" t="inlineStr">
        <is>
          <t>正保琉球国絵図写</t>
        </is>
      </c>
      <c r="G314" t="inlineStr"/>
      <c r="H314" t="inlineStr"/>
      <c r="I314" t="inlineStr">
        <is>
          <t>239</t>
        </is>
      </c>
      <c r="J314" t="inlineStr"/>
      <c r="K314" t="inlineStr"/>
      <c r="L314" s="1">
        <f>HYPERLINK("https://www.hi.u-tokyo.ac.jp/collection/degitalgallary/ryukyu/item/10313", "https://www.hi.u-tokyo.ac.jp/collection/degitalgallary/ryukyu/item/10313")</f>
        <v/>
      </c>
    </row>
    <row r="315">
      <c r="A315" t="inlineStr">
        <is>
          <t>10314</t>
        </is>
      </c>
      <c r="B315" t="inlineStr">
        <is>
          <t>ぬり瀬</t>
        </is>
      </c>
      <c r="C315" t="inlineStr">
        <is>
          <t>干瀬</t>
        </is>
      </c>
      <c r="D315" t="inlineStr">
        <is>
          <t>28.042233</t>
        </is>
      </c>
      <c r="E315" t="inlineStr">
        <is>
          <t>129.1494035</t>
        </is>
      </c>
      <c r="F315" t="inlineStr">
        <is>
          <t>正保琉球国絵図写</t>
        </is>
      </c>
      <c r="G315" t="inlineStr"/>
      <c r="H315" t="inlineStr"/>
      <c r="I315" t="inlineStr">
        <is>
          <t>240</t>
        </is>
      </c>
      <c r="J315" t="inlineStr"/>
      <c r="K315" t="inlineStr">
        <is>
          <t>鹿児島県大島郡瀬戸内町与路</t>
        </is>
      </c>
      <c r="L315" s="1">
        <f>HYPERLINK("https://www.hi.u-tokyo.ac.jp/collection/degitalgallary/ryukyu/item/10314", "https://www.hi.u-tokyo.ac.jp/collection/degitalgallary/ryukyu/item/10314")</f>
        <v/>
      </c>
    </row>
    <row r="316">
      <c r="A316" t="inlineStr">
        <is>
          <t>10315</t>
        </is>
      </c>
      <c r="B316" t="inlineStr">
        <is>
          <t>かかみ崎</t>
        </is>
      </c>
      <c r="C316" t="inlineStr">
        <is>
          <t>崎</t>
        </is>
      </c>
      <c r="D316" t="inlineStr">
        <is>
          <t>28.0490278</t>
        </is>
      </c>
      <c r="E316" t="inlineStr">
        <is>
          <t>129.1494001</t>
        </is>
      </c>
      <c r="F316" t="inlineStr">
        <is>
          <t>正保琉球国絵図写</t>
        </is>
      </c>
      <c r="G316" t="inlineStr"/>
      <c r="H316" t="inlineStr"/>
      <c r="I316" t="inlineStr">
        <is>
          <t>241</t>
        </is>
      </c>
      <c r="J316" t="inlineStr"/>
      <c r="K316" t="inlineStr">
        <is>
          <t>鹿児島県大島郡瀬戸内町与路</t>
        </is>
      </c>
      <c r="L316" s="1">
        <f>HYPERLINK("https://www.hi.u-tokyo.ac.jp/collection/degitalgallary/ryukyu/item/10315", "https://www.hi.u-tokyo.ac.jp/collection/degitalgallary/ryukyu/item/10315")</f>
        <v/>
      </c>
    </row>
    <row r="317">
      <c r="A317" t="inlineStr">
        <is>
          <t>10316</t>
        </is>
      </c>
      <c r="B317" t="inlineStr">
        <is>
          <t>西之古見湊より徳之嶋内井之川迄、海上十八里午之方ニ当ル</t>
        </is>
      </c>
      <c r="C317" t="inlineStr">
        <is>
          <t>航路</t>
        </is>
      </c>
      <c r="D317" t="inlineStr"/>
      <c r="E317" t="inlineStr"/>
      <c r="F317" t="inlineStr">
        <is>
          <t>正保琉球国絵図写</t>
        </is>
      </c>
      <c r="G317" t="inlineStr"/>
      <c r="H317" t="inlineStr"/>
      <c r="I317" t="inlineStr">
        <is>
          <t>242</t>
        </is>
      </c>
      <c r="J317" t="inlineStr"/>
      <c r="K317" t="inlineStr"/>
      <c r="L317" s="1">
        <f>HYPERLINK("https://www.hi.u-tokyo.ac.jp/collection/degitalgallary/ryukyu/item/10316", "https://www.hi.u-tokyo.ac.jp/collection/degitalgallary/ryukyu/item/10316")</f>
        <v/>
      </c>
    </row>
    <row r="318">
      <c r="A318" t="inlineStr">
        <is>
          <t>10317</t>
        </is>
      </c>
      <c r="B318" t="inlineStr">
        <is>
          <t>大嶋之内西之古見湊より徳之嶋之内わにや泊迄、海上十八里未申ノ間ニ当ル</t>
        </is>
      </c>
      <c r="C318" t="inlineStr">
        <is>
          <t>航路</t>
        </is>
      </c>
      <c r="D318" t="inlineStr"/>
      <c r="E318" t="inlineStr"/>
      <c r="F318" t="inlineStr">
        <is>
          <t>正保琉球国絵図写</t>
        </is>
      </c>
      <c r="G318" t="inlineStr"/>
      <c r="H318" t="inlineStr"/>
      <c r="I318" t="inlineStr">
        <is>
          <t>243</t>
        </is>
      </c>
      <c r="J318" t="inlineStr"/>
      <c r="K318" t="inlineStr"/>
      <c r="L318" s="1">
        <f>HYPERLINK("https://www.hi.u-tokyo.ac.jp/collection/degitalgallary/ryukyu/item/10317", "https://www.hi.u-tokyo.ac.jp/collection/degitalgallary/ryukyu/item/10317")</f>
        <v/>
      </c>
    </row>
    <row r="319">
      <c r="A319" t="inlineStr">
        <is>
          <t>10318</t>
        </is>
      </c>
      <c r="B319" t="inlineStr">
        <is>
          <t>徳之嶋
高壱万九石七斗
嶋廻十七里三町</t>
        </is>
      </c>
      <c r="C319" t="inlineStr">
        <is>
          <t>島</t>
        </is>
      </c>
      <c r="D319" t="inlineStr">
        <is>
          <t>27.7904264</t>
        </is>
      </c>
      <c r="E319" t="inlineStr">
        <is>
          <t>128.9668067</t>
        </is>
      </c>
      <c r="F319" t="inlineStr">
        <is>
          <t>正保琉球国絵図写</t>
        </is>
      </c>
      <c r="G319" t="inlineStr"/>
      <c r="H319" t="inlineStr"/>
      <c r="I319" t="inlineStr">
        <is>
          <t>244</t>
        </is>
      </c>
      <c r="J319" t="inlineStr"/>
      <c r="K319" t="inlineStr">
        <is>
          <t>鹿児島県大島郡徳之島町母間</t>
        </is>
      </c>
      <c r="L319" s="1">
        <f>HYPERLINK("https://www.hi.u-tokyo.ac.jp/collection/degitalgallary/ryukyu/item/10318", "https://www.hi.u-tokyo.ac.jp/collection/degitalgallary/ryukyu/item/10318")</f>
        <v/>
      </c>
    </row>
    <row r="320">
      <c r="A320" t="inlineStr">
        <is>
          <t>10319</t>
        </is>
      </c>
      <c r="B320" t="inlineStr">
        <is>
          <t>東間切大道ヨリあこん村大道迄、四里山坂難所牛馬無往還</t>
        </is>
      </c>
      <c r="C320" t="inlineStr">
        <is>
          <t>陸路</t>
        </is>
      </c>
      <c r="D320" t="inlineStr"/>
      <c r="E320" t="inlineStr"/>
      <c r="F320" t="inlineStr">
        <is>
          <t>正保琉球国絵図写</t>
        </is>
      </c>
      <c r="G320" t="inlineStr"/>
      <c r="H320" t="inlineStr"/>
      <c r="I320" t="inlineStr">
        <is>
          <t>245</t>
        </is>
      </c>
      <c r="J320" t="inlineStr"/>
      <c r="K320" t="inlineStr"/>
      <c r="L320" s="1">
        <f>HYPERLINK("https://www.hi.u-tokyo.ac.jp/collection/degitalgallary/ryukyu/item/10319", "https://www.hi.u-tokyo.ac.jp/collection/degitalgallary/ryukyu/item/10319")</f>
        <v/>
      </c>
    </row>
    <row r="321">
      <c r="A321" t="inlineStr">
        <is>
          <t>10320</t>
        </is>
      </c>
      <c r="B321" t="inlineStr">
        <is>
          <t>さきはる</t>
        </is>
      </c>
      <c r="C321" t="inlineStr">
        <is>
          <t>崎</t>
        </is>
      </c>
      <c r="D321" t="inlineStr">
        <is>
          <t>27.8604602</t>
        </is>
      </c>
      <c r="E321" t="inlineStr">
        <is>
          <t>128.9198304</t>
        </is>
      </c>
      <c r="F321" t="inlineStr">
        <is>
          <t>正保琉球国絵図写</t>
        </is>
      </c>
      <c r="G321" t="inlineStr"/>
      <c r="H321" t="inlineStr"/>
      <c r="I321" t="inlineStr">
        <is>
          <t>246</t>
        </is>
      </c>
      <c r="J321" t="inlineStr">
        <is>
          <t>30020470000252600</t>
        </is>
      </c>
      <c r="K321" t="inlineStr">
        <is>
          <t>鹿児島県大島郡天城町与名間</t>
        </is>
      </c>
      <c r="L321" s="1">
        <f>HYPERLINK("https://www.hi.u-tokyo.ac.jp/collection/degitalgallary/ryukyu/item/10320", "https://www.hi.u-tokyo.ac.jp/collection/degitalgallary/ryukyu/item/10320")</f>
        <v/>
      </c>
    </row>
    <row r="322">
      <c r="A322" t="inlineStr">
        <is>
          <t>10321</t>
        </is>
      </c>
      <c r="B322" t="inlineStr">
        <is>
          <t>かなみ崎</t>
        </is>
      </c>
      <c r="C322" t="inlineStr">
        <is>
          <t>崎</t>
        </is>
      </c>
      <c r="D322" t="inlineStr">
        <is>
          <t>27.8902185</t>
        </is>
      </c>
      <c r="E322" t="inlineStr">
        <is>
          <t>128.9666605</t>
        </is>
      </c>
      <c r="F322" t="inlineStr">
        <is>
          <t>正保琉球国絵図写</t>
        </is>
      </c>
      <c r="G322" t="inlineStr"/>
      <c r="H322" t="inlineStr"/>
      <c r="I322" t="inlineStr">
        <is>
          <t>247</t>
        </is>
      </c>
      <c r="J322" t="inlineStr"/>
      <c r="K322" t="inlineStr">
        <is>
          <t>鹿児島県大島郡徳之島町金見</t>
        </is>
      </c>
      <c r="L322" s="1">
        <f>HYPERLINK("https://www.hi.u-tokyo.ac.jp/collection/degitalgallary/ryukyu/item/10321", "https://www.hi.u-tokyo.ac.jp/collection/degitalgallary/ryukyu/item/10321")</f>
        <v/>
      </c>
    </row>
    <row r="323">
      <c r="A323" t="inlineStr">
        <is>
          <t>10322</t>
        </is>
      </c>
      <c r="B323" t="inlineStr">
        <is>
          <t>此間壱里</t>
        </is>
      </c>
      <c r="C323" t="inlineStr">
        <is>
          <t>その他</t>
        </is>
      </c>
      <c r="D323" t="inlineStr"/>
      <c r="E323" t="inlineStr"/>
      <c r="F323" t="inlineStr">
        <is>
          <t>正保琉球国絵図写</t>
        </is>
      </c>
      <c r="G323" t="inlineStr"/>
      <c r="H323" t="inlineStr"/>
      <c r="I323" t="inlineStr">
        <is>
          <t>248</t>
        </is>
      </c>
      <c r="J323" t="inlineStr"/>
      <c r="K323" t="inlineStr"/>
      <c r="L323" s="1">
        <f>HYPERLINK("https://www.hi.u-tokyo.ac.jp/collection/degitalgallary/ryukyu/item/10322", "https://www.hi.u-tokyo.ac.jp/collection/degitalgallary/ryukyu/item/10322")</f>
        <v/>
      </c>
    </row>
    <row r="324">
      <c r="A324" t="inlineStr">
        <is>
          <t>10323</t>
        </is>
      </c>
      <c r="B324" t="inlineStr">
        <is>
          <t>とのはら</t>
        </is>
      </c>
      <c r="C324" t="inlineStr">
        <is>
          <t>その他</t>
        </is>
      </c>
      <c r="D324" t="inlineStr">
        <is>
          <t>27.9235958</t>
        </is>
      </c>
      <c r="E324" t="inlineStr">
        <is>
          <t>128.9927973</t>
        </is>
      </c>
      <c r="F324" t="inlineStr">
        <is>
          <t>正保琉球国絵図写</t>
        </is>
      </c>
      <c r="G324" t="inlineStr"/>
      <c r="H324" t="inlineStr"/>
      <c r="I324" t="inlineStr">
        <is>
          <t>249</t>
        </is>
      </c>
      <c r="J324" t="inlineStr"/>
      <c r="K324" t="inlineStr">
        <is>
          <t>鹿児島県大島郡徳之島町金見</t>
        </is>
      </c>
      <c r="L324" s="1">
        <f>HYPERLINK("https://www.hi.u-tokyo.ac.jp/collection/degitalgallary/ryukyu/item/10323", "https://www.hi.u-tokyo.ac.jp/collection/degitalgallary/ryukyu/item/10323")</f>
        <v/>
      </c>
    </row>
    <row r="325">
      <c r="A325" t="inlineStr">
        <is>
          <t>10324</t>
        </is>
      </c>
      <c r="B325" t="inlineStr">
        <is>
          <t>しよひやの崎</t>
        </is>
      </c>
      <c r="C325" t="inlineStr">
        <is>
          <t>崎</t>
        </is>
      </c>
      <c r="D325" t="inlineStr">
        <is>
          <t>27.872231</t>
        </is>
      </c>
      <c r="E325" t="inlineStr">
        <is>
          <t>128.975076</t>
        </is>
      </c>
      <c r="F325" t="inlineStr">
        <is>
          <t>正保琉球国絵図写</t>
        </is>
      </c>
      <c r="G325" t="inlineStr"/>
      <c r="H325" t="inlineStr"/>
      <c r="I325" t="inlineStr">
        <is>
          <t>250</t>
        </is>
      </c>
      <c r="J325" t="inlineStr"/>
      <c r="K325" t="inlineStr">
        <is>
          <t>鹿児島県大島郡徳之島町山</t>
        </is>
      </c>
      <c r="L325" s="1">
        <f>HYPERLINK("https://www.hi.u-tokyo.ac.jp/collection/degitalgallary/ryukyu/item/10324", "https://www.hi.u-tokyo.ac.jp/collection/degitalgallary/ryukyu/item/10324")</f>
        <v/>
      </c>
    </row>
    <row r="326">
      <c r="A326" t="inlineStr">
        <is>
          <t>10325</t>
        </is>
      </c>
      <c r="B326" t="inlineStr">
        <is>
          <t>かなま崎</t>
        </is>
      </c>
      <c r="C326" t="inlineStr">
        <is>
          <t>崎</t>
        </is>
      </c>
      <c r="D326" t="inlineStr">
        <is>
          <t>27.820358</t>
        </is>
      </c>
      <c r="E326" t="inlineStr">
        <is>
          <t>128.9511518</t>
        </is>
      </c>
      <c r="F326" t="inlineStr">
        <is>
          <t>正保琉球国絵図写</t>
        </is>
      </c>
      <c r="G326" t="inlineStr"/>
      <c r="H326" t="inlineStr"/>
      <c r="I326" t="inlineStr">
        <is>
          <t>251</t>
        </is>
      </c>
      <c r="J326" t="inlineStr"/>
      <c r="K326" t="inlineStr">
        <is>
          <t>鹿児島県大島郡徳之島町花徳</t>
        </is>
      </c>
      <c r="L326" s="1">
        <f>HYPERLINK("https://www.hi.u-tokyo.ac.jp/collection/degitalgallary/ryukyu/item/10325", "https://www.hi.u-tokyo.ac.jp/collection/degitalgallary/ryukyu/item/10325")</f>
        <v/>
      </c>
    </row>
    <row r="327">
      <c r="A327" t="inlineStr">
        <is>
          <t>10326</t>
        </is>
      </c>
      <c r="B327" t="inlineStr">
        <is>
          <t>黒はす崎</t>
        </is>
      </c>
      <c r="C327" t="inlineStr">
        <is>
          <t>崎</t>
        </is>
      </c>
      <c r="D327" t="inlineStr">
        <is>
          <t>27.831927</t>
        </is>
      </c>
      <c r="E327" t="inlineStr">
        <is>
          <t>128.972855</t>
        </is>
      </c>
      <c r="F327" t="inlineStr">
        <is>
          <t>正保琉球国絵図写</t>
        </is>
      </c>
      <c r="G327" t="inlineStr"/>
      <c r="H327" t="inlineStr"/>
      <c r="I327" t="inlineStr">
        <is>
          <t>252</t>
        </is>
      </c>
      <c r="J327" t="inlineStr"/>
      <c r="K327" t="inlineStr">
        <is>
          <t>鹿児島県大島郡徳之島町花徳</t>
        </is>
      </c>
      <c r="L327" s="1">
        <f>HYPERLINK("https://www.hi.u-tokyo.ac.jp/collection/degitalgallary/ryukyu/item/10326", "https://www.hi.u-tokyo.ac.jp/collection/degitalgallary/ryukyu/item/10326")</f>
        <v/>
      </c>
    </row>
    <row r="328">
      <c r="A328" t="inlineStr">
        <is>
          <t>10327</t>
        </is>
      </c>
      <c r="B328" t="inlineStr">
        <is>
          <t>池</t>
        </is>
      </c>
      <c r="C328" t="inlineStr">
        <is>
          <t>池</t>
        </is>
      </c>
      <c r="D328" t="inlineStr"/>
      <c r="E328" t="inlineStr"/>
      <c r="F328" t="inlineStr">
        <is>
          <t>正保琉球国絵図写</t>
        </is>
      </c>
      <c r="G328" t="inlineStr"/>
      <c r="H328" t="inlineStr"/>
      <c r="I328" t="inlineStr">
        <is>
          <t>253</t>
        </is>
      </c>
      <c r="J328" t="inlineStr"/>
      <c r="K328" t="inlineStr"/>
      <c r="L328" s="1">
        <f>HYPERLINK("https://www.hi.u-tokyo.ac.jp/collection/degitalgallary/ryukyu/item/10327", "https://www.hi.u-tokyo.ac.jp/collection/degitalgallary/ryukyu/item/10327")</f>
        <v/>
      </c>
    </row>
    <row r="329">
      <c r="A329" t="inlineStr">
        <is>
          <t>10328</t>
        </is>
      </c>
      <c r="B329" t="inlineStr">
        <is>
          <t>おつの崎</t>
        </is>
      </c>
      <c r="C329" t="inlineStr">
        <is>
          <t>崎</t>
        </is>
      </c>
      <c r="D329" t="inlineStr">
        <is>
          <t>27.8043077</t>
        </is>
      </c>
      <c r="E329" t="inlineStr">
        <is>
          <t>128.995961</t>
        </is>
      </c>
      <c r="F329" t="inlineStr">
        <is>
          <t>正保琉球国絵図写</t>
        </is>
      </c>
      <c r="G329" t="inlineStr"/>
      <c r="H329" t="inlineStr"/>
      <c r="I329" t="inlineStr">
        <is>
          <t>254</t>
        </is>
      </c>
      <c r="J329" t="inlineStr"/>
      <c r="K329" t="inlineStr">
        <is>
          <t>鹿児島県大島郡徳之島町母間</t>
        </is>
      </c>
      <c r="L329" s="1">
        <f>HYPERLINK("https://www.hi.u-tokyo.ac.jp/collection/degitalgallary/ryukyu/item/10328", "https://www.hi.u-tokyo.ac.jp/collection/degitalgallary/ryukyu/item/10328")</f>
        <v/>
      </c>
    </row>
    <row r="330">
      <c r="A330" t="inlineStr">
        <is>
          <t>10329</t>
        </is>
      </c>
      <c r="B330" t="inlineStr">
        <is>
          <t>井ノ川</t>
        </is>
      </c>
      <c r="C330" t="inlineStr">
        <is>
          <t>港湾</t>
        </is>
      </c>
      <c r="D330" t="inlineStr">
        <is>
          <t>27.7792937</t>
        </is>
      </c>
      <c r="E330" t="inlineStr">
        <is>
          <t>129.0148106</t>
        </is>
      </c>
      <c r="F330" t="inlineStr">
        <is>
          <t>正保琉球国絵図写</t>
        </is>
      </c>
      <c r="G330" t="inlineStr">
        <is>
          <t>此井之川、入廿五間、広サ廿間、深十弐尋、大船出入不自由</t>
        </is>
      </c>
      <c r="H330" t="inlineStr"/>
      <c r="I330" t="inlineStr">
        <is>
          <t>255</t>
        </is>
      </c>
      <c r="J330" t="inlineStr"/>
      <c r="K330" t="inlineStr">
        <is>
          <t>鹿児島県大島郡徳之島町井之川</t>
        </is>
      </c>
      <c r="L330" s="1">
        <f>HYPERLINK("https://www.hi.u-tokyo.ac.jp/collection/degitalgallary/ryukyu/item/10329", "https://www.hi.u-tokyo.ac.jp/collection/degitalgallary/ryukyu/item/10329")</f>
        <v/>
      </c>
    </row>
    <row r="331">
      <c r="A331" t="inlineStr">
        <is>
          <t>10330</t>
        </is>
      </c>
      <c r="B331" t="inlineStr">
        <is>
          <t>井ノ川崎</t>
        </is>
      </c>
      <c r="C331" t="inlineStr">
        <is>
          <t>崎</t>
        </is>
      </c>
      <c r="D331" t="inlineStr">
        <is>
          <t>27.7739086</t>
        </is>
      </c>
      <c r="E331" t="inlineStr">
        <is>
          <t>129.0335373</t>
        </is>
      </c>
      <c r="F331" t="inlineStr">
        <is>
          <t>正保琉球国絵図写</t>
        </is>
      </c>
      <c r="G331" t="inlineStr"/>
      <c r="H331" t="inlineStr"/>
      <c r="I331" t="inlineStr">
        <is>
          <t>256</t>
        </is>
      </c>
      <c r="J331" t="inlineStr"/>
      <c r="K331" t="inlineStr">
        <is>
          <t>鹿児島県大島郡徳之島町神之嶺</t>
        </is>
      </c>
      <c r="L331" s="1">
        <f>HYPERLINK("https://www.hi.u-tokyo.ac.jp/collection/degitalgallary/ryukyu/item/10330", "https://www.hi.u-tokyo.ac.jp/collection/degitalgallary/ryukyu/item/10330")</f>
        <v/>
      </c>
    </row>
    <row r="332">
      <c r="A332" t="inlineStr">
        <is>
          <t>10331</t>
        </is>
      </c>
      <c r="B332" t="inlineStr">
        <is>
          <t>井ノ川より秋徳湊迄海上壱里半</t>
        </is>
      </c>
      <c r="C332" t="inlineStr">
        <is>
          <t>航路</t>
        </is>
      </c>
      <c r="D332" t="inlineStr"/>
      <c r="E332" t="inlineStr"/>
      <c r="F332" t="inlineStr">
        <is>
          <t>正保琉球国絵図写</t>
        </is>
      </c>
      <c r="G332" t="inlineStr"/>
      <c r="H332" t="inlineStr"/>
      <c r="I332" t="inlineStr">
        <is>
          <t>257</t>
        </is>
      </c>
      <c r="J332" t="inlineStr"/>
      <c r="K332" t="inlineStr"/>
      <c r="L332" s="1">
        <f>HYPERLINK("https://www.hi.u-tokyo.ac.jp/collection/degitalgallary/ryukyu/item/10331", "https://www.hi.u-tokyo.ac.jp/collection/degitalgallary/ryukyu/item/10331")</f>
        <v/>
      </c>
    </row>
    <row r="333">
      <c r="A333" t="inlineStr">
        <is>
          <t>10332</t>
        </is>
      </c>
      <c r="B333" t="inlineStr">
        <is>
          <t>秋徳</t>
        </is>
      </c>
      <c r="C333" t="inlineStr">
        <is>
          <t>港湾</t>
        </is>
      </c>
      <c r="D333" t="inlineStr">
        <is>
          <t>27.7436634</t>
        </is>
      </c>
      <c r="E333" t="inlineStr">
        <is>
          <t>129.0226681</t>
        </is>
      </c>
      <c r="F333" t="inlineStr">
        <is>
          <t>正保琉球国絵図写</t>
        </is>
      </c>
      <c r="G333" t="inlineStr">
        <is>
          <t>此秋徳湊、入壱町、広さ一町、深サ五尋、大船三艘程繋ル、東風南風之時船繋リ不成</t>
        </is>
      </c>
      <c r="H333" t="inlineStr"/>
      <c r="I333" t="inlineStr">
        <is>
          <t>258</t>
        </is>
      </c>
      <c r="J333" t="inlineStr"/>
      <c r="K333" t="inlineStr">
        <is>
          <t>鹿児島県大島郡徳之島町亀徳</t>
        </is>
      </c>
      <c r="L333" s="1">
        <f>HYPERLINK("https://www.hi.u-tokyo.ac.jp/collection/degitalgallary/ryukyu/item/10332", "https://www.hi.u-tokyo.ac.jp/collection/degitalgallary/ryukyu/item/10332")</f>
        <v/>
      </c>
    </row>
    <row r="334">
      <c r="A334" t="inlineStr">
        <is>
          <t>10333</t>
        </is>
      </c>
      <c r="B334" t="inlineStr">
        <is>
          <t>たつ口</t>
        </is>
      </c>
      <c r="C334" t="inlineStr">
        <is>
          <t>その他</t>
        </is>
      </c>
      <c r="D334" t="inlineStr">
        <is>
          <t>27.7364329</t>
        </is>
      </c>
      <c r="E334" t="inlineStr">
        <is>
          <t>129.0210457</t>
        </is>
      </c>
      <c r="F334" t="inlineStr">
        <is>
          <t>正保琉球国絵図写</t>
        </is>
      </c>
      <c r="G334" t="inlineStr"/>
      <c r="H334" t="inlineStr"/>
      <c r="I334" t="inlineStr">
        <is>
          <t>259</t>
        </is>
      </c>
      <c r="J334" t="inlineStr"/>
      <c r="K334" t="inlineStr">
        <is>
          <t>鹿児島県大島郡徳之島町亀津</t>
        </is>
      </c>
      <c r="L334" s="1">
        <f>HYPERLINK("https://www.hi.u-tokyo.ac.jp/collection/degitalgallary/ryukyu/item/10333", "https://www.hi.u-tokyo.ac.jp/collection/degitalgallary/ryukyu/item/10333")</f>
        <v/>
      </c>
    </row>
    <row r="335">
      <c r="A335" t="inlineStr">
        <is>
          <t>10334</t>
        </is>
      </c>
      <c r="B335" t="inlineStr">
        <is>
          <t>かくちな崎</t>
        </is>
      </c>
      <c r="C335" t="inlineStr">
        <is>
          <t>崎</t>
        </is>
      </c>
      <c r="D335" t="inlineStr">
        <is>
          <t>27.7184525</t>
        </is>
      </c>
      <c r="E335" t="inlineStr">
        <is>
          <t>129.0188829</t>
        </is>
      </c>
      <c r="F335" t="inlineStr">
        <is>
          <t>正保琉球国絵図写</t>
        </is>
      </c>
      <c r="G335" t="inlineStr"/>
      <c r="H335" t="inlineStr"/>
      <c r="I335" t="inlineStr">
        <is>
          <t>260</t>
        </is>
      </c>
      <c r="J335" t="inlineStr"/>
      <c r="K335" t="inlineStr">
        <is>
          <t>鹿児島県大島郡徳之島町亀津</t>
        </is>
      </c>
      <c r="L335" s="1">
        <f>HYPERLINK("https://www.hi.u-tokyo.ac.jp/collection/degitalgallary/ryukyu/item/10334", "https://www.hi.u-tokyo.ac.jp/collection/degitalgallary/ryukyu/item/10334")</f>
        <v/>
      </c>
    </row>
    <row r="336">
      <c r="A336" t="inlineStr">
        <is>
          <t>10335</t>
        </is>
      </c>
      <c r="B336" t="inlineStr">
        <is>
          <t>くらひの崎</t>
        </is>
      </c>
      <c r="C336" t="inlineStr">
        <is>
          <t>崎</t>
        </is>
      </c>
      <c r="D336" t="inlineStr">
        <is>
          <t>27.6993417</t>
        </is>
      </c>
      <c r="E336" t="inlineStr">
        <is>
          <t>129.0055548</t>
        </is>
      </c>
      <c r="F336" t="inlineStr">
        <is>
          <t>正保琉球国絵図写</t>
        </is>
      </c>
      <c r="G336" t="inlineStr"/>
      <c r="H336" t="inlineStr"/>
      <c r="I336" t="inlineStr">
        <is>
          <t>261</t>
        </is>
      </c>
      <c r="J336" t="inlineStr"/>
      <c r="K336" t="inlineStr">
        <is>
          <t>鹿児島県大島郡徳之島町亀津</t>
        </is>
      </c>
      <c r="L336" s="1">
        <f>HYPERLINK("https://www.hi.u-tokyo.ac.jp/collection/degitalgallary/ryukyu/item/10335", "https://www.hi.u-tokyo.ac.jp/collection/degitalgallary/ryukyu/item/10335")</f>
        <v/>
      </c>
    </row>
    <row r="337">
      <c r="A337" t="inlineStr">
        <is>
          <t>10336</t>
        </is>
      </c>
      <c r="B337" t="inlineStr">
        <is>
          <t>秋徳湊より永良部嶋和泊迄、海上十八里未申之間ニ当ル</t>
        </is>
      </c>
      <c r="C337" t="inlineStr">
        <is>
          <t>航路</t>
        </is>
      </c>
      <c r="D337" t="inlineStr"/>
      <c r="E337" t="inlineStr"/>
      <c r="F337" t="inlineStr">
        <is>
          <t>正保琉球国絵図写</t>
        </is>
      </c>
      <c r="G337" t="inlineStr"/>
      <c r="H337" t="inlineStr"/>
      <c r="I337" t="inlineStr">
        <is>
          <t>262</t>
        </is>
      </c>
      <c r="J337" t="inlineStr"/>
      <c r="K337" t="inlineStr"/>
      <c r="L337" s="1">
        <f>HYPERLINK("https://www.hi.u-tokyo.ac.jp/collection/degitalgallary/ryukyu/item/10336", "https://www.hi.u-tokyo.ac.jp/collection/degitalgallary/ryukyu/item/10336")</f>
        <v/>
      </c>
    </row>
    <row r="338">
      <c r="A338" t="inlineStr">
        <is>
          <t>10337</t>
        </is>
      </c>
      <c r="B338" t="inlineStr">
        <is>
          <t>廉川</t>
        </is>
      </c>
      <c r="C338" t="inlineStr">
        <is>
          <t>川</t>
        </is>
      </c>
      <c r="D338" t="inlineStr">
        <is>
          <t>27.6954404</t>
        </is>
      </c>
      <c r="E338" t="inlineStr">
        <is>
          <t>128.9328828</t>
        </is>
      </c>
      <c r="F338" t="inlineStr">
        <is>
          <t>正保琉球国絵図写</t>
        </is>
      </c>
      <c r="G338" t="inlineStr"/>
      <c r="H338" t="inlineStr"/>
      <c r="I338" t="inlineStr">
        <is>
          <t>263</t>
        </is>
      </c>
      <c r="J338" t="inlineStr"/>
      <c r="K338" t="inlineStr">
        <is>
          <t>鹿児島県大島郡伊仙町阿三</t>
        </is>
      </c>
      <c r="L338" s="1">
        <f>HYPERLINK("https://www.hi.u-tokyo.ac.jp/collection/degitalgallary/ryukyu/item/10337", "https://www.hi.u-tokyo.ac.jp/collection/degitalgallary/ryukyu/item/10337")</f>
        <v/>
      </c>
    </row>
    <row r="339">
      <c r="A339" t="inlineStr">
        <is>
          <t>10338</t>
        </is>
      </c>
      <c r="B339" t="inlineStr">
        <is>
          <t>歩渡り</t>
        </is>
      </c>
      <c r="C339" t="inlineStr">
        <is>
          <t>渡河点</t>
        </is>
      </c>
      <c r="D339" t="inlineStr"/>
      <c r="E339" t="inlineStr"/>
      <c r="F339" t="inlineStr">
        <is>
          <t>正保琉球国絵図写</t>
        </is>
      </c>
      <c r="G339" t="inlineStr"/>
      <c r="H339" t="inlineStr"/>
      <c r="I339" t="inlineStr">
        <is>
          <t>264</t>
        </is>
      </c>
      <c r="J339" t="inlineStr"/>
      <c r="K339" t="inlineStr"/>
      <c r="L339" s="1">
        <f>HYPERLINK("https://www.hi.u-tokyo.ac.jp/collection/degitalgallary/ryukyu/item/10338", "https://www.hi.u-tokyo.ac.jp/collection/degitalgallary/ryukyu/item/10338")</f>
        <v/>
      </c>
    </row>
    <row r="340">
      <c r="A340" t="inlineStr">
        <is>
          <t>10339</t>
        </is>
      </c>
      <c r="B340" t="inlineStr">
        <is>
          <t>あこん川</t>
        </is>
      </c>
      <c r="C340" t="inlineStr">
        <is>
          <t>川</t>
        </is>
      </c>
      <c r="D340" t="inlineStr">
        <is>
          <t>27.7064959</t>
        </is>
      </c>
      <c r="E340" t="inlineStr">
        <is>
          <t>128.9136478</t>
        </is>
      </c>
      <c r="F340" t="inlineStr">
        <is>
          <t>正保琉球国絵図写</t>
        </is>
      </c>
      <c r="G340" t="inlineStr"/>
      <c r="H340" t="inlineStr"/>
      <c r="I340" t="inlineStr">
        <is>
          <t>265</t>
        </is>
      </c>
      <c r="J340" t="inlineStr"/>
      <c r="K340" t="inlineStr">
        <is>
          <t>鹿児島県大島郡伊仙町阿権</t>
        </is>
      </c>
      <c r="L340" s="1">
        <f>HYPERLINK("https://www.hi.u-tokyo.ac.jp/collection/degitalgallary/ryukyu/item/10339", "https://www.hi.u-tokyo.ac.jp/collection/degitalgallary/ryukyu/item/10339")</f>
        <v/>
      </c>
    </row>
    <row r="341">
      <c r="A341" t="inlineStr">
        <is>
          <t>10340</t>
        </is>
      </c>
      <c r="B341" t="inlineStr">
        <is>
          <t>歩渡り</t>
        </is>
      </c>
      <c r="C341" t="inlineStr">
        <is>
          <t>渡河点</t>
        </is>
      </c>
      <c r="D341" t="inlineStr"/>
      <c r="E341" t="inlineStr"/>
      <c r="F341" t="inlineStr">
        <is>
          <t>正保琉球国絵図写</t>
        </is>
      </c>
      <c r="G341" t="inlineStr"/>
      <c r="H341" t="inlineStr"/>
      <c r="I341" t="inlineStr">
        <is>
          <t>266</t>
        </is>
      </c>
      <c r="J341" t="inlineStr"/>
      <c r="K341" t="inlineStr"/>
      <c r="L341" s="1">
        <f>HYPERLINK("https://www.hi.u-tokyo.ac.jp/collection/degitalgallary/ryukyu/item/10340", "https://www.hi.u-tokyo.ac.jp/collection/degitalgallary/ryukyu/item/10340")</f>
        <v/>
      </c>
    </row>
    <row r="342">
      <c r="A342" t="inlineStr">
        <is>
          <t>10341</t>
        </is>
      </c>
      <c r="B342" t="inlineStr">
        <is>
          <t>犬たぶ崎</t>
        </is>
      </c>
      <c r="C342" t="inlineStr">
        <is>
          <t>崎</t>
        </is>
      </c>
      <c r="D342" t="inlineStr">
        <is>
          <t>27.7232511</t>
        </is>
      </c>
      <c r="E342" t="inlineStr">
        <is>
          <t>128.8815811</t>
        </is>
      </c>
      <c r="F342" t="inlineStr">
        <is>
          <t>正保琉球国絵図写</t>
        </is>
      </c>
      <c r="G342" t="inlineStr"/>
      <c r="H342" t="inlineStr"/>
      <c r="I342" t="inlineStr">
        <is>
          <t>267</t>
        </is>
      </c>
      <c r="J342" t="inlineStr"/>
      <c r="K342" t="inlineStr">
        <is>
          <t>鹿児島県大島郡伊仙町犬田布</t>
        </is>
      </c>
      <c r="L342" s="1">
        <f>HYPERLINK("https://www.hi.u-tokyo.ac.jp/collection/degitalgallary/ryukyu/item/10341", "https://www.hi.u-tokyo.ac.jp/collection/degitalgallary/ryukyu/item/10341")</f>
        <v/>
      </c>
    </row>
    <row r="343">
      <c r="A343" t="inlineStr">
        <is>
          <t>10342</t>
        </is>
      </c>
      <c r="B343" t="inlineStr">
        <is>
          <t>あきり神川</t>
        </is>
      </c>
      <c r="C343" t="inlineStr">
        <is>
          <t>川</t>
        </is>
      </c>
      <c r="D343" t="inlineStr">
        <is>
          <t>27.764527</t>
        </is>
      </c>
      <c r="E343" t="inlineStr">
        <is>
          <t>128.940713</t>
        </is>
      </c>
      <c r="F343" t="inlineStr">
        <is>
          <t>正保琉球国絵図写</t>
        </is>
      </c>
      <c r="G343" t="inlineStr"/>
      <c r="H343" t="inlineStr"/>
      <c r="I343" t="inlineStr">
        <is>
          <t>268</t>
        </is>
      </c>
      <c r="J343" t="inlineStr"/>
      <c r="K343" t="inlineStr">
        <is>
          <t>鹿児島県大島郡天城町西阿木名</t>
        </is>
      </c>
      <c r="L343" s="1">
        <f>HYPERLINK("https://www.hi.u-tokyo.ac.jp/collection/degitalgallary/ryukyu/item/10342", "https://www.hi.u-tokyo.ac.jp/collection/degitalgallary/ryukyu/item/10342")</f>
        <v/>
      </c>
    </row>
    <row r="344">
      <c r="A344" t="inlineStr">
        <is>
          <t>10343</t>
        </is>
      </c>
      <c r="B344" t="inlineStr">
        <is>
          <t>歩渡り</t>
        </is>
      </c>
      <c r="C344" t="inlineStr">
        <is>
          <t>渡河点</t>
        </is>
      </c>
      <c r="D344" t="inlineStr"/>
      <c r="E344" t="inlineStr"/>
      <c r="F344" t="inlineStr">
        <is>
          <t>正保琉球国絵図写</t>
        </is>
      </c>
      <c r="G344" t="inlineStr"/>
      <c r="H344" t="inlineStr"/>
      <c r="I344" t="inlineStr">
        <is>
          <t>269</t>
        </is>
      </c>
      <c r="J344" t="inlineStr"/>
      <c r="K344" t="inlineStr"/>
      <c r="L344" s="1">
        <f>HYPERLINK("https://www.hi.u-tokyo.ac.jp/collection/degitalgallary/ryukyu/item/10343", "https://www.hi.u-tokyo.ac.jp/collection/degitalgallary/ryukyu/item/10343")</f>
        <v/>
      </c>
    </row>
    <row r="345">
      <c r="A345" t="inlineStr">
        <is>
          <t>10344</t>
        </is>
      </c>
      <c r="B345" t="inlineStr">
        <is>
          <t>天摩崎</t>
        </is>
      </c>
      <c r="C345" t="inlineStr">
        <is>
          <t>崎</t>
        </is>
      </c>
      <c r="D345" t="inlineStr">
        <is>
          <t>27.787430</t>
        </is>
      </c>
      <c r="E345" t="inlineStr">
        <is>
          <t>128.889808</t>
        </is>
      </c>
      <c r="F345" t="inlineStr">
        <is>
          <t>正保琉球国絵図写</t>
        </is>
      </c>
      <c r="G345" t="inlineStr"/>
      <c r="H345" t="inlineStr"/>
      <c r="I345" t="inlineStr">
        <is>
          <t>270</t>
        </is>
      </c>
      <c r="J345" t="inlineStr"/>
      <c r="K345" t="inlineStr">
        <is>
          <t>鹿児島県大島郡天城町兼久</t>
        </is>
      </c>
      <c r="L345" s="1">
        <f>HYPERLINK("https://www.hi.u-tokyo.ac.jp/collection/degitalgallary/ryukyu/item/10344", "https://www.hi.u-tokyo.ac.jp/collection/degitalgallary/ryukyu/item/10344")</f>
        <v/>
      </c>
    </row>
    <row r="346">
      <c r="A346" t="inlineStr">
        <is>
          <t>10345</t>
        </is>
      </c>
      <c r="B346" t="inlineStr">
        <is>
          <t>へとの川</t>
        </is>
      </c>
      <c r="C346" t="inlineStr">
        <is>
          <t>川</t>
        </is>
      </c>
      <c r="D346" t="inlineStr">
        <is>
          <t>27.8110424</t>
        </is>
      </c>
      <c r="E346" t="inlineStr">
        <is>
          <t>128.8956764</t>
        </is>
      </c>
      <c r="F346" t="inlineStr">
        <is>
          <t>正保琉球国絵図写</t>
        </is>
      </c>
      <c r="G346" t="inlineStr"/>
      <c r="H346" t="inlineStr"/>
      <c r="I346" t="inlineStr">
        <is>
          <t>271</t>
        </is>
      </c>
      <c r="J346" t="inlineStr"/>
      <c r="K346" t="inlineStr">
        <is>
          <t>鹿児島県大島郡天城町平土野</t>
        </is>
      </c>
      <c r="L346" s="1">
        <f>HYPERLINK("https://www.hi.u-tokyo.ac.jp/collection/degitalgallary/ryukyu/item/10345", "https://www.hi.u-tokyo.ac.jp/collection/degitalgallary/ryukyu/item/10345")</f>
        <v/>
      </c>
    </row>
    <row r="347">
      <c r="A347" t="inlineStr">
        <is>
          <t>10346</t>
        </is>
      </c>
      <c r="B347" t="inlineStr">
        <is>
          <t>歩渡り</t>
        </is>
      </c>
      <c r="C347" t="inlineStr">
        <is>
          <t>渡河点</t>
        </is>
      </c>
      <c r="D347" t="inlineStr"/>
      <c r="E347" t="inlineStr"/>
      <c r="F347" t="inlineStr">
        <is>
          <t>正保琉球国絵図写</t>
        </is>
      </c>
      <c r="G347" t="inlineStr"/>
      <c r="H347" t="inlineStr"/>
      <c r="I347" t="inlineStr">
        <is>
          <t>272</t>
        </is>
      </c>
      <c r="J347" t="inlineStr"/>
      <c r="K347" t="inlineStr"/>
      <c r="L347" s="1">
        <f>HYPERLINK("https://www.hi.u-tokyo.ac.jp/collection/degitalgallary/ryukyu/item/10346", "https://www.hi.u-tokyo.ac.jp/collection/degitalgallary/ryukyu/item/10346")</f>
        <v/>
      </c>
    </row>
    <row r="348">
      <c r="A348" t="inlineStr">
        <is>
          <t>10347</t>
        </is>
      </c>
      <c r="B348" t="inlineStr">
        <is>
          <t>和にや泊</t>
        </is>
      </c>
      <c r="C348" t="inlineStr">
        <is>
          <t>港湾</t>
        </is>
      </c>
      <c r="D348" t="inlineStr">
        <is>
          <t>27.8329601</t>
        </is>
      </c>
      <c r="E348" t="inlineStr">
        <is>
          <t>128.8911057</t>
        </is>
      </c>
      <c r="F348" t="inlineStr">
        <is>
          <t>正保琉球国絵図写</t>
        </is>
      </c>
      <c r="G348" t="inlineStr">
        <is>
          <t>此和にや泊、入壱町廿間、広さ廿間、深さ五尋、水底惣岩、船繋リ不自由、西風之時船繋リ不成</t>
        </is>
      </c>
      <c r="H348" t="inlineStr"/>
      <c r="I348" t="inlineStr">
        <is>
          <t>273</t>
        </is>
      </c>
      <c r="J348" t="inlineStr"/>
      <c r="K348" t="inlineStr">
        <is>
          <t>鹿児島県大島郡天城町浅間</t>
        </is>
      </c>
      <c r="L348" s="1">
        <f>HYPERLINK("https://www.hi.u-tokyo.ac.jp/collection/degitalgallary/ryukyu/item/10347", "https://www.hi.u-tokyo.ac.jp/collection/degitalgallary/ryukyu/item/10347")</f>
        <v/>
      </c>
    </row>
    <row r="349">
      <c r="A349" t="inlineStr">
        <is>
          <t>10348</t>
        </is>
      </c>
      <c r="B349" t="inlineStr">
        <is>
          <t>大くろ瀬</t>
        </is>
      </c>
      <c r="C349" t="inlineStr">
        <is>
          <t>干瀬</t>
        </is>
      </c>
      <c r="D349" t="inlineStr"/>
      <c r="E349" t="inlineStr"/>
      <c r="F349" t="inlineStr">
        <is>
          <t>正保琉球国絵図写</t>
        </is>
      </c>
      <c r="G349" t="inlineStr"/>
      <c r="H349" t="inlineStr"/>
      <c r="I349" t="inlineStr">
        <is>
          <t>274</t>
        </is>
      </c>
      <c r="J349" t="inlineStr"/>
      <c r="K349" t="inlineStr"/>
      <c r="L349" s="1">
        <f>HYPERLINK("https://www.hi.u-tokyo.ac.jp/collection/degitalgallary/ryukyu/item/10348", "https://www.hi.u-tokyo.ac.jp/collection/degitalgallary/ryukyu/item/10348")</f>
        <v/>
      </c>
    </row>
    <row r="350">
      <c r="A350" t="inlineStr">
        <is>
          <t>10349</t>
        </is>
      </c>
      <c r="B350" t="inlineStr">
        <is>
          <t>つの崎</t>
        </is>
      </c>
      <c r="C350" t="inlineStr">
        <is>
          <t>崎</t>
        </is>
      </c>
      <c r="D350" t="inlineStr"/>
      <c r="E350" t="inlineStr"/>
      <c r="F350" t="inlineStr">
        <is>
          <t>正保琉球国絵図写</t>
        </is>
      </c>
      <c r="G350" t="inlineStr"/>
      <c r="H350" t="inlineStr"/>
      <c r="I350" t="inlineStr">
        <is>
          <t>275</t>
        </is>
      </c>
      <c r="J350" t="inlineStr"/>
      <c r="K350" t="inlineStr"/>
      <c r="L350" s="1">
        <f>HYPERLINK("https://www.hi.u-tokyo.ac.jp/collection/degitalgallary/ryukyu/item/10349", "https://www.hi.u-tokyo.ac.jp/collection/degitalgallary/ryukyu/item/10349")</f>
        <v/>
      </c>
    </row>
    <row r="351">
      <c r="A351" t="inlineStr">
        <is>
          <t>10350</t>
        </is>
      </c>
      <c r="B351" t="inlineStr">
        <is>
          <t>永良部嶋
高四千百五拾八石五斗
嶋廻拾里十八町</t>
        </is>
      </c>
      <c r="C351" t="inlineStr">
        <is>
          <t>島</t>
        </is>
      </c>
      <c r="D351" t="inlineStr">
        <is>
          <t>27.3662187</t>
        </is>
      </c>
      <c r="E351" t="inlineStr">
        <is>
          <t>128.6005328</t>
        </is>
      </c>
      <c r="F351" t="inlineStr">
        <is>
          <t>正保琉球国絵図写</t>
        </is>
      </c>
      <c r="G351" t="inlineStr"/>
      <c r="H351" t="inlineStr"/>
      <c r="I351" t="inlineStr">
        <is>
          <t>276</t>
        </is>
      </c>
      <c r="J351" t="inlineStr"/>
      <c r="K351" t="inlineStr">
        <is>
          <t>鹿児島県大島郡知名町上平川</t>
        </is>
      </c>
      <c r="L351" s="1">
        <f>HYPERLINK("https://www.hi.u-tokyo.ac.jp/collection/degitalgallary/ryukyu/item/10350", "https://www.hi.u-tokyo.ac.jp/collection/degitalgallary/ryukyu/item/10350")</f>
        <v/>
      </c>
    </row>
    <row r="352">
      <c r="A352" t="inlineStr">
        <is>
          <t>10351</t>
        </is>
      </c>
      <c r="B352" t="inlineStr">
        <is>
          <t>おかみ山</t>
        </is>
      </c>
      <c r="C352" t="inlineStr">
        <is>
          <t>山</t>
        </is>
      </c>
      <c r="D352" t="inlineStr"/>
      <c r="E352" t="inlineStr"/>
      <c r="F352" t="inlineStr">
        <is>
          <t>正保琉球国絵図写</t>
        </is>
      </c>
      <c r="G352" t="inlineStr"/>
      <c r="H352" t="inlineStr"/>
      <c r="I352" t="inlineStr">
        <is>
          <t>277</t>
        </is>
      </c>
      <c r="J352" t="inlineStr"/>
      <c r="K352" t="inlineStr"/>
      <c r="L352" s="1">
        <f>HYPERLINK("https://www.hi.u-tokyo.ac.jp/collection/degitalgallary/ryukyu/item/10351", "https://www.hi.u-tokyo.ac.jp/collection/degitalgallary/ryukyu/item/10351")</f>
        <v/>
      </c>
    </row>
    <row r="353">
      <c r="A353" t="inlineStr">
        <is>
          <t>10352</t>
        </is>
      </c>
      <c r="B353" t="inlineStr">
        <is>
          <t>西目村大道ヨリ下平川村大道迄、弐里</t>
        </is>
      </c>
      <c r="C353" t="inlineStr">
        <is>
          <t>陸路</t>
        </is>
      </c>
      <c r="D353" t="inlineStr"/>
      <c r="E353" t="inlineStr"/>
      <c r="F353" t="inlineStr">
        <is>
          <t>正保琉球国絵図写</t>
        </is>
      </c>
      <c r="G353" t="inlineStr"/>
      <c r="H353" t="inlineStr"/>
      <c r="I353" t="inlineStr">
        <is>
          <t>278</t>
        </is>
      </c>
      <c r="J353" t="inlineStr"/>
      <c r="K353" t="inlineStr"/>
      <c r="L353" s="1">
        <f>HYPERLINK("https://www.hi.u-tokyo.ac.jp/collection/degitalgallary/ryukyu/item/10352", "https://www.hi.u-tokyo.ac.jp/collection/degitalgallary/ryukyu/item/10352")</f>
        <v/>
      </c>
    </row>
    <row r="354">
      <c r="A354" t="inlineStr">
        <is>
          <t>10353</t>
        </is>
      </c>
      <c r="B354" t="inlineStr">
        <is>
          <t>おかみ山</t>
        </is>
      </c>
      <c r="C354" t="inlineStr">
        <is>
          <t>山</t>
        </is>
      </c>
      <c r="D354" t="inlineStr"/>
      <c r="E354" t="inlineStr"/>
      <c r="F354" t="inlineStr">
        <is>
          <t>正保琉球国絵図写</t>
        </is>
      </c>
      <c r="G354" t="inlineStr"/>
      <c r="H354" t="inlineStr"/>
      <c r="I354" t="inlineStr">
        <is>
          <t>279</t>
        </is>
      </c>
      <c r="J354" t="inlineStr"/>
      <c r="K354" t="inlineStr"/>
      <c r="L354" s="1">
        <f>HYPERLINK("https://www.hi.u-tokyo.ac.jp/collection/degitalgallary/ryukyu/item/10353", "https://www.hi.u-tokyo.ac.jp/collection/degitalgallary/ryukyu/item/10353")</f>
        <v/>
      </c>
    </row>
    <row r="355">
      <c r="A355" t="inlineStr">
        <is>
          <t>10354</t>
        </is>
      </c>
      <c r="B355" t="inlineStr">
        <is>
          <t>池</t>
        </is>
      </c>
      <c r="C355" t="inlineStr">
        <is>
          <t>その他</t>
        </is>
      </c>
      <c r="D355" t="inlineStr"/>
      <c r="E355" t="inlineStr"/>
      <c r="F355" t="inlineStr">
        <is>
          <t>正保琉球国絵図写</t>
        </is>
      </c>
      <c r="G355" t="inlineStr"/>
      <c r="H355" t="inlineStr"/>
      <c r="I355" t="inlineStr">
        <is>
          <t>280</t>
        </is>
      </c>
      <c r="J355" t="inlineStr"/>
      <c r="K355" t="inlineStr"/>
      <c r="L355" s="1">
        <f>HYPERLINK("https://www.hi.u-tokyo.ac.jp/collection/degitalgallary/ryukyu/item/10354", "https://www.hi.u-tokyo.ac.jp/collection/degitalgallary/ryukyu/item/10354")</f>
        <v/>
      </c>
    </row>
    <row r="356">
      <c r="A356" t="inlineStr">
        <is>
          <t>10355</t>
        </is>
      </c>
      <c r="B356" t="inlineStr">
        <is>
          <t>池</t>
        </is>
      </c>
      <c r="C356" t="inlineStr">
        <is>
          <t>その他</t>
        </is>
      </c>
      <c r="D356" t="inlineStr"/>
      <c r="E356" t="inlineStr"/>
      <c r="F356" t="inlineStr">
        <is>
          <t>正保琉球国絵図写</t>
        </is>
      </c>
      <c r="G356" t="inlineStr"/>
      <c r="H356" t="inlineStr"/>
      <c r="I356" t="inlineStr">
        <is>
          <t>281</t>
        </is>
      </c>
      <c r="J356" t="inlineStr"/>
      <c r="K356" t="inlineStr"/>
      <c r="L356" s="1">
        <f>HYPERLINK("https://www.hi.u-tokyo.ac.jp/collection/degitalgallary/ryukyu/item/10355", "https://www.hi.u-tokyo.ac.jp/collection/degitalgallary/ryukyu/item/10355")</f>
        <v/>
      </c>
    </row>
    <row r="357">
      <c r="A357" t="inlineStr">
        <is>
          <t>10356</t>
        </is>
      </c>
      <c r="B357" t="inlineStr">
        <is>
          <t>池</t>
        </is>
      </c>
      <c r="C357" t="inlineStr">
        <is>
          <t>その他</t>
        </is>
      </c>
      <c r="D357" t="inlineStr"/>
      <c r="E357" t="inlineStr"/>
      <c r="F357" t="inlineStr">
        <is>
          <t>正保琉球国絵図写</t>
        </is>
      </c>
      <c r="G357" t="inlineStr"/>
      <c r="H357" t="inlineStr"/>
      <c r="I357" t="inlineStr">
        <is>
          <t>282</t>
        </is>
      </c>
      <c r="J357" t="inlineStr"/>
      <c r="K357" t="inlineStr"/>
      <c r="L357" s="1">
        <f>HYPERLINK("https://www.hi.u-tokyo.ac.jp/collection/degitalgallary/ryukyu/item/10356", "https://www.hi.u-tokyo.ac.jp/collection/degitalgallary/ryukyu/item/10356")</f>
        <v/>
      </c>
    </row>
    <row r="358">
      <c r="A358" t="inlineStr">
        <is>
          <t>10357</t>
        </is>
      </c>
      <c r="B358" t="inlineStr">
        <is>
          <t>池</t>
        </is>
      </c>
      <c r="C358" t="inlineStr">
        <is>
          <t>その他</t>
        </is>
      </c>
      <c r="D358" t="inlineStr"/>
      <c r="E358" t="inlineStr"/>
      <c r="F358" t="inlineStr">
        <is>
          <t>正保琉球国絵図写</t>
        </is>
      </c>
      <c r="G358" t="inlineStr"/>
      <c r="H358" t="inlineStr"/>
      <c r="I358" t="inlineStr">
        <is>
          <t>283</t>
        </is>
      </c>
      <c r="J358" t="inlineStr"/>
      <c r="K358" t="inlineStr"/>
      <c r="L358" s="1">
        <f>HYPERLINK("https://www.hi.u-tokyo.ac.jp/collection/degitalgallary/ryukyu/item/10357", "https://www.hi.u-tokyo.ac.jp/collection/degitalgallary/ryukyu/item/10357")</f>
        <v/>
      </c>
    </row>
    <row r="359">
      <c r="A359" t="inlineStr">
        <is>
          <t>10358</t>
        </is>
      </c>
      <c r="B359" t="inlineStr">
        <is>
          <t>池</t>
        </is>
      </c>
      <c r="C359" t="inlineStr">
        <is>
          <t>その他</t>
        </is>
      </c>
      <c r="D359" t="inlineStr"/>
      <c r="E359" t="inlineStr"/>
      <c r="F359" t="inlineStr">
        <is>
          <t>正保琉球国絵図写</t>
        </is>
      </c>
      <c r="G359" t="inlineStr"/>
      <c r="H359" t="inlineStr"/>
      <c r="I359" t="inlineStr">
        <is>
          <t>284</t>
        </is>
      </c>
      <c r="J359" t="inlineStr"/>
      <c r="K359" t="inlineStr"/>
      <c r="L359" s="1">
        <f>HYPERLINK("https://www.hi.u-tokyo.ac.jp/collection/degitalgallary/ryukyu/item/10358", "https://www.hi.u-tokyo.ac.jp/collection/degitalgallary/ryukyu/item/10358")</f>
        <v/>
      </c>
    </row>
    <row r="360">
      <c r="A360" t="inlineStr">
        <is>
          <t>10359</t>
        </is>
      </c>
      <c r="B360" t="inlineStr">
        <is>
          <t>池</t>
        </is>
      </c>
      <c r="C360" t="inlineStr">
        <is>
          <t>その他</t>
        </is>
      </c>
      <c r="D360" t="inlineStr"/>
      <c r="E360" t="inlineStr"/>
      <c r="F360" t="inlineStr">
        <is>
          <t>正保琉球国絵図写</t>
        </is>
      </c>
      <c r="G360" t="inlineStr"/>
      <c r="H360" t="inlineStr"/>
      <c r="I360" t="inlineStr">
        <is>
          <t>285</t>
        </is>
      </c>
      <c r="J360" t="inlineStr"/>
      <c r="K360" t="inlineStr"/>
      <c r="L360" s="1">
        <f>HYPERLINK("https://www.hi.u-tokyo.ac.jp/collection/degitalgallary/ryukyu/item/10359", "https://www.hi.u-tokyo.ac.jp/collection/degitalgallary/ryukyu/item/10359")</f>
        <v/>
      </c>
    </row>
    <row r="361">
      <c r="A361" t="inlineStr">
        <is>
          <t>10360</t>
        </is>
      </c>
      <c r="B361" t="inlineStr">
        <is>
          <t>池</t>
        </is>
      </c>
      <c r="C361" t="inlineStr">
        <is>
          <t>その他</t>
        </is>
      </c>
      <c r="D361" t="inlineStr"/>
      <c r="E361" t="inlineStr"/>
      <c r="F361" t="inlineStr">
        <is>
          <t>正保琉球国絵図写</t>
        </is>
      </c>
      <c r="G361" t="inlineStr"/>
      <c r="H361" t="inlineStr"/>
      <c r="I361" t="inlineStr">
        <is>
          <t>286</t>
        </is>
      </c>
      <c r="J361" t="inlineStr"/>
      <c r="K361" t="inlineStr"/>
      <c r="L361" s="1">
        <f>HYPERLINK("https://www.hi.u-tokyo.ac.jp/collection/degitalgallary/ryukyu/item/10360", "https://www.hi.u-tokyo.ac.jp/collection/degitalgallary/ryukyu/item/10360")</f>
        <v/>
      </c>
    </row>
    <row r="362">
      <c r="A362" t="inlineStr">
        <is>
          <t>10361</t>
        </is>
      </c>
      <c r="B362" t="inlineStr">
        <is>
          <t>きひる浜</t>
        </is>
      </c>
      <c r="C362" t="inlineStr">
        <is>
          <t>その他</t>
        </is>
      </c>
      <c r="D362" t="inlineStr">
        <is>
          <t>27.411801</t>
        </is>
      </c>
      <c r="E362" t="inlineStr">
        <is>
          <t>128.6700217</t>
        </is>
      </c>
      <c r="F362" t="inlineStr">
        <is>
          <t>正保琉球国絵図写</t>
        </is>
      </c>
      <c r="G362" t="inlineStr"/>
      <c r="H362" t="inlineStr"/>
      <c r="I362" t="inlineStr">
        <is>
          <t>287</t>
        </is>
      </c>
      <c r="J362" t="inlineStr"/>
      <c r="K362" t="inlineStr">
        <is>
          <t>鹿児島県大島郡和泊町喜美留</t>
        </is>
      </c>
      <c r="L362" s="1">
        <f>HYPERLINK("https://www.hi.u-tokyo.ac.jp/collection/degitalgallary/ryukyu/item/10361", "https://www.hi.u-tokyo.ac.jp/collection/degitalgallary/ryukyu/item/10361")</f>
        <v/>
      </c>
    </row>
    <row r="363">
      <c r="A363" t="inlineStr">
        <is>
          <t>10362</t>
        </is>
      </c>
      <c r="B363" t="inlineStr">
        <is>
          <t>池</t>
        </is>
      </c>
      <c r="C363" t="inlineStr">
        <is>
          <t>その他</t>
        </is>
      </c>
      <c r="D363" t="inlineStr"/>
      <c r="E363" t="inlineStr"/>
      <c r="F363" t="inlineStr">
        <is>
          <t>正保琉球国絵図写</t>
        </is>
      </c>
      <c r="G363" t="inlineStr"/>
      <c r="H363" t="inlineStr"/>
      <c r="I363" t="inlineStr">
        <is>
          <t>288</t>
        </is>
      </c>
      <c r="J363" t="inlineStr"/>
      <c r="K363" t="inlineStr"/>
      <c r="L363" s="1">
        <f>HYPERLINK("https://www.hi.u-tokyo.ac.jp/collection/degitalgallary/ryukyu/item/10362", "https://www.hi.u-tokyo.ac.jp/collection/degitalgallary/ryukyu/item/10362")</f>
        <v/>
      </c>
    </row>
    <row r="364">
      <c r="A364" t="inlineStr">
        <is>
          <t>10363</t>
        </is>
      </c>
      <c r="B364" t="inlineStr">
        <is>
          <t>おかみ山</t>
        </is>
      </c>
      <c r="C364" t="inlineStr">
        <is>
          <t>山</t>
        </is>
      </c>
      <c r="D364" t="inlineStr"/>
      <c r="E364" t="inlineStr"/>
      <c r="F364" t="inlineStr">
        <is>
          <t>正保琉球国絵図写</t>
        </is>
      </c>
      <c r="G364" t="inlineStr"/>
      <c r="H364" t="inlineStr"/>
      <c r="I364" t="inlineStr">
        <is>
          <t>289</t>
        </is>
      </c>
      <c r="J364" t="inlineStr"/>
      <c r="K364" t="inlineStr"/>
      <c r="L364" s="1">
        <f>HYPERLINK("https://www.hi.u-tokyo.ac.jp/collection/degitalgallary/ryukyu/item/10363", "https://www.hi.u-tokyo.ac.jp/collection/degitalgallary/ryukyu/item/10363")</f>
        <v/>
      </c>
    </row>
    <row r="365">
      <c r="A365" t="inlineStr">
        <is>
          <t>10364</t>
        </is>
      </c>
      <c r="B365" t="inlineStr">
        <is>
          <t>やぎにや崎</t>
        </is>
      </c>
      <c r="C365" t="inlineStr">
        <is>
          <t>崎</t>
        </is>
      </c>
      <c r="D365" t="inlineStr">
        <is>
          <t>27.4040423</t>
        </is>
      </c>
      <c r="E365" t="inlineStr">
        <is>
          <t>128.5376787</t>
        </is>
      </c>
      <c r="F365" t="inlineStr">
        <is>
          <t>正保琉球国絵図写</t>
        </is>
      </c>
      <c r="G365" t="inlineStr"/>
      <c r="H365" t="inlineStr"/>
      <c r="I365" t="inlineStr">
        <is>
          <t>290</t>
        </is>
      </c>
      <c r="J365" t="inlineStr"/>
      <c r="K365" t="inlineStr">
        <is>
          <t>鹿児島県大島郡知名町田皆</t>
        </is>
      </c>
      <c r="L365" s="1">
        <f>HYPERLINK("https://www.hi.u-tokyo.ac.jp/collection/degitalgallary/ryukyu/item/10364", "https://www.hi.u-tokyo.ac.jp/collection/degitalgallary/ryukyu/item/10364")</f>
        <v/>
      </c>
    </row>
    <row r="366">
      <c r="A366" t="inlineStr">
        <is>
          <t>10365</t>
        </is>
      </c>
      <c r="B366" t="inlineStr">
        <is>
          <t>国頭崎</t>
        </is>
      </c>
      <c r="C366" t="inlineStr">
        <is>
          <t>崎</t>
        </is>
      </c>
      <c r="D366" t="inlineStr">
        <is>
          <t>27.4340391</t>
        </is>
      </c>
      <c r="E366" t="inlineStr">
        <is>
          <t>128.7135806</t>
        </is>
      </c>
      <c r="F366" t="inlineStr">
        <is>
          <t>正保琉球国絵図写</t>
        </is>
      </c>
      <c r="G366" t="inlineStr"/>
      <c r="H366" t="inlineStr"/>
      <c r="I366" t="inlineStr">
        <is>
          <t>291</t>
        </is>
      </c>
      <c r="J366" t="inlineStr"/>
      <c r="K366" t="inlineStr">
        <is>
          <t>鹿児島県大島郡和泊町国頭</t>
        </is>
      </c>
      <c r="L366" s="1">
        <f>HYPERLINK("https://www.hi.u-tokyo.ac.jp/collection/degitalgallary/ryukyu/item/10365", "https://www.hi.u-tokyo.ac.jp/collection/degitalgallary/ryukyu/item/10365")</f>
        <v/>
      </c>
    </row>
    <row r="367">
      <c r="A367" t="inlineStr">
        <is>
          <t>10366</t>
        </is>
      </c>
      <c r="B367" t="inlineStr">
        <is>
          <t>和泊</t>
        </is>
      </c>
      <c r="C367" t="inlineStr">
        <is>
          <t>港湾</t>
        </is>
      </c>
      <c r="D367" t="inlineStr">
        <is>
          <t>27.4129254</t>
        </is>
      </c>
      <c r="E367" t="inlineStr">
        <is>
          <t>128.6438081</t>
        </is>
      </c>
      <c r="F367" t="inlineStr">
        <is>
          <t>正保琉球国絵図写</t>
        </is>
      </c>
      <c r="G367" t="inlineStr">
        <is>
          <t>此和泊、入弐町廿間、広サ弐町四拾間、干汐之時深サ六尋、水底はへにて船繋リ不自由、東風之時船繋リ不成</t>
        </is>
      </c>
      <c r="H367" t="inlineStr"/>
      <c r="I367" t="inlineStr">
        <is>
          <t>292</t>
        </is>
      </c>
      <c r="J367" t="inlineStr"/>
      <c r="K367" t="inlineStr">
        <is>
          <t>鹿児島県大島郡和泊町伊延</t>
        </is>
      </c>
      <c r="L367" s="1">
        <f>HYPERLINK("https://www.hi.u-tokyo.ac.jp/collection/degitalgallary/ryukyu/item/10366", "https://www.hi.u-tokyo.ac.jp/collection/degitalgallary/ryukyu/item/10366")</f>
        <v/>
      </c>
    </row>
    <row r="368">
      <c r="A368" t="inlineStr">
        <is>
          <t>10367</t>
        </is>
      </c>
      <c r="B368" t="inlineStr">
        <is>
          <t>和泊より与論嶋之内あがさ泊迄、海上十三里午未間ニ当ル</t>
        </is>
      </c>
      <c r="C368" t="inlineStr">
        <is>
          <t>港湾</t>
        </is>
      </c>
      <c r="D368" t="inlineStr"/>
      <c r="E368" t="inlineStr"/>
      <c r="F368" t="inlineStr">
        <is>
          <t>正保琉球国絵図写</t>
        </is>
      </c>
      <c r="G368" t="inlineStr"/>
      <c r="H368" t="inlineStr"/>
      <c r="I368" t="inlineStr">
        <is>
          <t>293</t>
        </is>
      </c>
      <c r="J368" t="inlineStr"/>
      <c r="K368" t="inlineStr"/>
      <c r="L368" s="1">
        <f>HYPERLINK("https://www.hi.u-tokyo.ac.jp/collection/degitalgallary/ryukyu/item/10367", "https://www.hi.u-tokyo.ac.jp/collection/degitalgallary/ryukyu/item/10367")</f>
        <v/>
      </c>
    </row>
    <row r="369">
      <c r="A369" t="inlineStr">
        <is>
          <t>10368</t>
        </is>
      </c>
      <c r="B369" t="inlineStr">
        <is>
          <t>あまた川</t>
        </is>
      </c>
      <c r="C369" t="inlineStr">
        <is>
          <t>川</t>
        </is>
      </c>
      <c r="D369" t="inlineStr"/>
      <c r="E369" t="inlineStr"/>
      <c r="F369" t="inlineStr">
        <is>
          <t>正保琉球国絵図写</t>
        </is>
      </c>
      <c r="G369" t="inlineStr"/>
      <c r="H369" t="inlineStr"/>
      <c r="I369" t="inlineStr">
        <is>
          <t>294</t>
        </is>
      </c>
      <c r="J369" t="inlineStr"/>
      <c r="K369" t="inlineStr"/>
      <c r="L369" s="1">
        <f>HYPERLINK("https://www.hi.u-tokyo.ac.jp/collection/degitalgallary/ryukyu/item/10368", "https://www.hi.u-tokyo.ac.jp/collection/degitalgallary/ryukyu/item/10368")</f>
        <v/>
      </c>
    </row>
    <row r="370">
      <c r="A370" t="inlineStr">
        <is>
          <t>10369</t>
        </is>
      </c>
      <c r="B370" t="inlineStr">
        <is>
          <t>おかみ山</t>
        </is>
      </c>
      <c r="C370" t="inlineStr">
        <is>
          <t>山</t>
        </is>
      </c>
      <c r="D370" t="inlineStr">
        <is>
          <t>27.3402184</t>
        </is>
      </c>
      <c r="E370" t="inlineStr">
        <is>
          <t>128.5506652</t>
        </is>
      </c>
      <c r="F370" t="inlineStr">
        <is>
          <t>正保琉球国絵図写</t>
        </is>
      </c>
      <c r="G370" t="inlineStr"/>
      <c r="H370" t="inlineStr"/>
      <c r="I370" t="inlineStr">
        <is>
          <t>295</t>
        </is>
      </c>
      <c r="J370" t="inlineStr"/>
      <c r="K370" t="inlineStr">
        <is>
          <t>鹿児島県大島郡知名町屋子母</t>
        </is>
      </c>
      <c r="L370" s="1">
        <f>HYPERLINK("https://www.hi.u-tokyo.ac.jp/collection/degitalgallary/ryukyu/item/10369", "https://www.hi.u-tokyo.ac.jp/collection/degitalgallary/ryukyu/item/10369")</f>
        <v/>
      </c>
    </row>
    <row r="371">
      <c r="A371" t="inlineStr">
        <is>
          <t>10370</t>
        </is>
      </c>
      <c r="B371" t="inlineStr">
        <is>
          <t>池</t>
        </is>
      </c>
      <c r="C371" t="inlineStr">
        <is>
          <t>その他</t>
        </is>
      </c>
      <c r="D371" t="inlineStr">
        <is>
          <t>27.3402184</t>
        </is>
      </c>
      <c r="E371" t="inlineStr">
        <is>
          <t>128.5506652</t>
        </is>
      </c>
      <c r="F371" t="inlineStr">
        <is>
          <t>正保琉球国絵図写</t>
        </is>
      </c>
      <c r="G371" t="inlineStr"/>
      <c r="H371" t="inlineStr"/>
      <c r="I371" t="inlineStr">
        <is>
          <t>296</t>
        </is>
      </c>
      <c r="J371" t="inlineStr"/>
      <c r="K371" t="inlineStr">
        <is>
          <t>鹿児島県大島郡知名町屋子母</t>
        </is>
      </c>
      <c r="L371" s="1">
        <f>HYPERLINK("https://www.hi.u-tokyo.ac.jp/collection/degitalgallary/ryukyu/item/10370", "https://www.hi.u-tokyo.ac.jp/collection/degitalgallary/ryukyu/item/10370")</f>
        <v/>
      </c>
    </row>
    <row r="372">
      <c r="A372" t="inlineStr">
        <is>
          <t>10371</t>
        </is>
      </c>
      <c r="B372" t="inlineStr">
        <is>
          <t>池</t>
        </is>
      </c>
      <c r="C372" t="inlineStr">
        <is>
          <t>その他</t>
        </is>
      </c>
      <c r="D372" t="inlineStr"/>
      <c r="E372" t="inlineStr"/>
      <c r="F372" t="inlineStr">
        <is>
          <t>正保琉球国絵図写</t>
        </is>
      </c>
      <c r="G372" t="inlineStr"/>
      <c r="H372" t="inlineStr"/>
      <c r="I372" t="inlineStr">
        <is>
          <t>297</t>
        </is>
      </c>
      <c r="J372" t="inlineStr"/>
      <c r="K372" t="inlineStr"/>
      <c r="L372" s="1">
        <f>HYPERLINK("https://www.hi.u-tokyo.ac.jp/collection/degitalgallary/ryukyu/item/10371", "https://www.hi.u-tokyo.ac.jp/collection/degitalgallary/ryukyu/item/10371")</f>
        <v/>
      </c>
    </row>
    <row r="373">
      <c r="A373" t="inlineStr">
        <is>
          <t>10372</t>
        </is>
      </c>
      <c r="B373" t="inlineStr">
        <is>
          <t>池</t>
        </is>
      </c>
      <c r="C373" t="inlineStr">
        <is>
          <t>その他</t>
        </is>
      </c>
      <c r="D373" t="inlineStr"/>
      <c r="E373" t="inlineStr"/>
      <c r="F373" t="inlineStr">
        <is>
          <t>正保琉球国絵図写</t>
        </is>
      </c>
      <c r="G373" t="inlineStr"/>
      <c r="H373" t="inlineStr"/>
      <c r="I373" t="inlineStr">
        <is>
          <t>298</t>
        </is>
      </c>
      <c r="J373" t="inlineStr"/>
      <c r="K373" t="inlineStr"/>
      <c r="L373" s="1">
        <f>HYPERLINK("https://www.hi.u-tokyo.ac.jp/collection/degitalgallary/ryukyu/item/10372", "https://www.hi.u-tokyo.ac.jp/collection/degitalgallary/ryukyu/item/10372")</f>
        <v/>
      </c>
    </row>
    <row r="374">
      <c r="A374" t="inlineStr">
        <is>
          <t>10373</t>
        </is>
      </c>
      <c r="B374" t="inlineStr">
        <is>
          <t>与論嶋
高千弐百七拾弐石六斗
嶋廻三里五町</t>
        </is>
      </c>
      <c r="C374" t="inlineStr">
        <is>
          <t>島</t>
        </is>
      </c>
      <c r="D374" t="inlineStr">
        <is>
          <t>27.042604</t>
        </is>
      </c>
      <c r="E374" t="inlineStr">
        <is>
          <t>128.432407</t>
        </is>
      </c>
      <c r="F374" t="inlineStr">
        <is>
          <t>正保琉球国絵図写</t>
        </is>
      </c>
      <c r="G374" t="inlineStr"/>
      <c r="H374" t="inlineStr"/>
      <c r="I374" t="inlineStr">
        <is>
          <t>299</t>
        </is>
      </c>
      <c r="J374" t="inlineStr"/>
      <c r="K374" t="inlineStr">
        <is>
          <t>鹿児島県大島郡与論町朝戸</t>
        </is>
      </c>
      <c r="L374" s="1">
        <f>HYPERLINK("https://www.hi.u-tokyo.ac.jp/collection/degitalgallary/ryukyu/item/10373", "https://www.hi.u-tokyo.ac.jp/collection/degitalgallary/ryukyu/item/10373")</f>
        <v/>
      </c>
    </row>
    <row r="375">
      <c r="A375" t="inlineStr">
        <is>
          <t>10374</t>
        </is>
      </c>
      <c r="B375" t="inlineStr">
        <is>
          <t>異国船遠見番所</t>
        </is>
      </c>
      <c r="C375" t="inlineStr">
        <is>
          <t>その他</t>
        </is>
      </c>
      <c r="D375" t="inlineStr"/>
      <c r="E375" t="inlineStr"/>
      <c r="F375" t="inlineStr">
        <is>
          <t>正保琉球国絵図写</t>
        </is>
      </c>
      <c r="G375" t="inlineStr"/>
      <c r="H375" t="inlineStr"/>
      <c r="I375" t="inlineStr">
        <is>
          <t>300</t>
        </is>
      </c>
      <c r="J375" t="inlineStr"/>
      <c r="K375" t="inlineStr"/>
      <c r="L375" s="1">
        <f>HYPERLINK("https://www.hi.u-tokyo.ac.jp/collection/degitalgallary/ryukyu/item/10374", "https://www.hi.u-tokyo.ac.jp/collection/degitalgallary/ryukyu/item/10374")</f>
        <v/>
      </c>
    </row>
    <row r="376">
      <c r="A376" t="inlineStr">
        <is>
          <t>10375</t>
        </is>
      </c>
      <c r="B376" t="inlineStr">
        <is>
          <t>池</t>
        </is>
      </c>
      <c r="C376" t="inlineStr">
        <is>
          <t>その他</t>
        </is>
      </c>
      <c r="D376" t="inlineStr"/>
      <c r="E376" t="inlineStr"/>
      <c r="F376" t="inlineStr">
        <is>
          <t>正保琉球国絵図写</t>
        </is>
      </c>
      <c r="G376" t="inlineStr"/>
      <c r="H376" t="inlineStr"/>
      <c r="I376" t="inlineStr">
        <is>
          <t>301</t>
        </is>
      </c>
      <c r="J376" t="inlineStr"/>
      <c r="K376" t="inlineStr"/>
      <c r="L376" s="1">
        <f>HYPERLINK("https://www.hi.u-tokyo.ac.jp/collection/degitalgallary/ryukyu/item/10375", "https://www.hi.u-tokyo.ac.jp/collection/degitalgallary/ryukyu/item/10375")</f>
        <v/>
      </c>
    </row>
    <row r="377">
      <c r="A377" t="inlineStr">
        <is>
          <t>10376</t>
        </is>
      </c>
      <c r="B377" t="inlineStr">
        <is>
          <t>池</t>
        </is>
      </c>
      <c r="C377" t="inlineStr">
        <is>
          <t>その他</t>
        </is>
      </c>
      <c r="D377" t="inlineStr"/>
      <c r="E377" t="inlineStr"/>
      <c r="F377" t="inlineStr">
        <is>
          <t>正保琉球国絵図写</t>
        </is>
      </c>
      <c r="G377" t="inlineStr"/>
      <c r="H377" t="inlineStr"/>
      <c r="I377" t="inlineStr">
        <is>
          <t>302</t>
        </is>
      </c>
      <c r="J377" t="inlineStr"/>
      <c r="K377" t="inlineStr"/>
      <c r="L377" s="1">
        <f>HYPERLINK("https://www.hi.u-tokyo.ac.jp/collection/degitalgallary/ryukyu/item/10376", "https://www.hi.u-tokyo.ac.jp/collection/degitalgallary/ryukyu/item/10376")</f>
        <v/>
      </c>
    </row>
    <row r="378">
      <c r="A378" t="inlineStr">
        <is>
          <t>10377</t>
        </is>
      </c>
      <c r="B378" t="inlineStr">
        <is>
          <t>池</t>
        </is>
      </c>
      <c r="C378" t="inlineStr">
        <is>
          <t>その他</t>
        </is>
      </c>
      <c r="D378" t="inlineStr"/>
      <c r="E378" t="inlineStr"/>
      <c r="F378" t="inlineStr">
        <is>
          <t>正保琉球国絵図写</t>
        </is>
      </c>
      <c r="G378" t="inlineStr"/>
      <c r="H378" t="inlineStr"/>
      <c r="I378" t="inlineStr">
        <is>
          <t>303</t>
        </is>
      </c>
      <c r="J378" t="inlineStr"/>
      <c r="K378" t="inlineStr"/>
      <c r="L378" s="1">
        <f>HYPERLINK("https://www.hi.u-tokyo.ac.jp/collection/degitalgallary/ryukyu/item/10377", "https://www.hi.u-tokyo.ac.jp/collection/degitalgallary/ryukyu/item/10377")</f>
        <v/>
      </c>
    </row>
    <row r="379">
      <c r="A379" t="inlineStr">
        <is>
          <t>10378</t>
        </is>
      </c>
      <c r="B379" t="inlineStr">
        <is>
          <t>池</t>
        </is>
      </c>
      <c r="C379" t="inlineStr">
        <is>
          <t>その他</t>
        </is>
      </c>
      <c r="D379" t="inlineStr"/>
      <c r="E379" t="inlineStr"/>
      <c r="F379" t="inlineStr">
        <is>
          <t>正保琉球国絵図写</t>
        </is>
      </c>
      <c r="G379" t="inlineStr"/>
      <c r="H379" t="inlineStr"/>
      <c r="I379" t="inlineStr">
        <is>
          <t>304</t>
        </is>
      </c>
      <c r="J379" t="inlineStr"/>
      <c r="K379" t="inlineStr"/>
      <c r="L379" s="1">
        <f>HYPERLINK("https://www.hi.u-tokyo.ac.jp/collection/degitalgallary/ryukyu/item/10378", "https://www.hi.u-tokyo.ac.jp/collection/degitalgallary/ryukyu/item/10378")</f>
        <v/>
      </c>
    </row>
    <row r="380">
      <c r="A380" t="inlineStr">
        <is>
          <t>10379</t>
        </is>
      </c>
      <c r="B380" t="inlineStr">
        <is>
          <t>池</t>
        </is>
      </c>
      <c r="C380" t="inlineStr">
        <is>
          <t>その他</t>
        </is>
      </c>
      <c r="D380" t="inlineStr"/>
      <c r="E380" t="inlineStr"/>
      <c r="F380" t="inlineStr">
        <is>
          <t>正保琉球国絵図写</t>
        </is>
      </c>
      <c r="G380" t="inlineStr"/>
      <c r="H380" t="inlineStr"/>
      <c r="I380" t="inlineStr">
        <is>
          <t>305</t>
        </is>
      </c>
      <c r="J380" t="inlineStr"/>
      <c r="K380" t="inlineStr"/>
      <c r="L380" s="1">
        <f>HYPERLINK("https://www.hi.u-tokyo.ac.jp/collection/degitalgallary/ryukyu/item/10379", "https://www.hi.u-tokyo.ac.jp/collection/degitalgallary/ryukyu/item/10379")</f>
        <v/>
      </c>
    </row>
    <row r="381">
      <c r="A381" t="inlineStr">
        <is>
          <t>10380</t>
        </is>
      </c>
      <c r="B381" t="inlineStr">
        <is>
          <t>めなさ</t>
        </is>
      </c>
      <c r="C381" t="inlineStr">
        <is>
          <t>その他</t>
        </is>
      </c>
      <c r="D381" t="inlineStr">
        <is>
          <t>27.0591907</t>
        </is>
      </c>
      <c r="E381" t="inlineStr">
        <is>
          <t>128.4350372</t>
        </is>
      </c>
      <c r="F381" t="inlineStr">
        <is>
          <t>正保琉球国絵図写</t>
        </is>
      </c>
      <c r="G381" t="inlineStr"/>
      <c r="H381" t="inlineStr"/>
      <c r="I381" t="inlineStr">
        <is>
          <t>306</t>
        </is>
      </c>
      <c r="J381" t="inlineStr"/>
      <c r="K381" t="inlineStr">
        <is>
          <t>鹿児島県大島郡与論町那間</t>
        </is>
      </c>
      <c r="L381" s="1">
        <f>HYPERLINK("https://www.hi.u-tokyo.ac.jp/collection/degitalgallary/ryukyu/item/10380", "https://www.hi.u-tokyo.ac.jp/collection/degitalgallary/ryukyu/item/10380")</f>
        <v/>
      </c>
    </row>
    <row r="382">
      <c r="A382" t="inlineStr">
        <is>
          <t>10381</t>
        </is>
      </c>
      <c r="B382" t="inlineStr">
        <is>
          <t>地はなれ</t>
        </is>
      </c>
      <c r="C382" t="inlineStr">
        <is>
          <t>その他</t>
        </is>
      </c>
      <c r="D382" t="inlineStr">
        <is>
          <t>27.0443704</t>
        </is>
      </c>
      <c r="E382" t="inlineStr">
        <is>
          <t>128.4546188</t>
        </is>
      </c>
      <c r="F382" t="inlineStr">
        <is>
          <t>正保琉球国絵図写</t>
        </is>
      </c>
      <c r="G382" t="inlineStr"/>
      <c r="H382" t="inlineStr"/>
      <c r="I382" t="inlineStr">
        <is>
          <t>307</t>
        </is>
      </c>
      <c r="J382" t="inlineStr"/>
      <c r="K382" t="inlineStr">
        <is>
          <t>鹿児島県大島郡与論町古里</t>
        </is>
      </c>
      <c r="L382" s="1">
        <f>HYPERLINK("https://www.hi.u-tokyo.ac.jp/collection/degitalgallary/ryukyu/item/10381", "https://www.hi.u-tokyo.ac.jp/collection/degitalgallary/ryukyu/item/10381")</f>
        <v/>
      </c>
    </row>
    <row r="383">
      <c r="A383" t="inlineStr">
        <is>
          <t>10382</t>
        </is>
      </c>
      <c r="B383" t="inlineStr">
        <is>
          <t>此干瀬赤崎ヨリ十七八町程出ル</t>
        </is>
      </c>
      <c r="C383" t="inlineStr">
        <is>
          <t>干瀬</t>
        </is>
      </c>
      <c r="D383" t="inlineStr"/>
      <c r="E383" t="inlineStr"/>
      <c r="F383" t="inlineStr">
        <is>
          <t>正保琉球国絵図写</t>
        </is>
      </c>
      <c r="G383" t="inlineStr"/>
      <c r="H383" t="inlineStr"/>
      <c r="I383" t="inlineStr">
        <is>
          <t>308</t>
        </is>
      </c>
      <c r="J383" t="inlineStr"/>
      <c r="K383" t="inlineStr"/>
      <c r="L383" s="1">
        <f>HYPERLINK("https://www.hi.u-tokyo.ac.jp/collection/degitalgallary/ryukyu/item/10382", "https://www.hi.u-tokyo.ac.jp/collection/degitalgallary/ryukyu/item/10382")</f>
        <v/>
      </c>
    </row>
    <row r="384">
      <c r="A384" t="inlineStr">
        <is>
          <t>10383</t>
        </is>
      </c>
      <c r="B384" t="inlineStr">
        <is>
          <t>赤崎</t>
        </is>
      </c>
      <c r="C384" t="inlineStr">
        <is>
          <t>崎</t>
        </is>
      </c>
      <c r="D384" t="inlineStr">
        <is>
          <t>27.024395</t>
        </is>
      </c>
      <c r="E384" t="inlineStr">
        <is>
          <t>128.457014</t>
        </is>
      </c>
      <c r="F384" t="inlineStr">
        <is>
          <t>正保琉球国絵図写</t>
        </is>
      </c>
      <c r="G384" t="inlineStr"/>
      <c r="H384" t="inlineStr"/>
      <c r="I384" t="inlineStr">
        <is>
          <t>309</t>
        </is>
      </c>
      <c r="J384" t="inlineStr"/>
      <c r="K384" t="inlineStr">
        <is>
          <t>鹿児島県大島郡与論町麦屋</t>
        </is>
      </c>
      <c r="L384" s="1">
        <f>HYPERLINK("https://www.hi.u-tokyo.ac.jp/collection/degitalgallary/ryukyu/item/10383", "https://www.hi.u-tokyo.ac.jp/collection/degitalgallary/ryukyu/item/10383")</f>
        <v/>
      </c>
    </row>
    <row r="385">
      <c r="A385" t="inlineStr">
        <is>
          <t>10384</t>
        </is>
      </c>
      <c r="B385" t="inlineStr">
        <is>
          <t>大船出入なし</t>
        </is>
      </c>
      <c r="C385" t="inlineStr">
        <is>
          <t>港湾</t>
        </is>
      </c>
      <c r="D385" t="inlineStr"/>
      <c r="E385" t="inlineStr"/>
      <c r="F385" t="inlineStr">
        <is>
          <t>正保琉球国絵図写</t>
        </is>
      </c>
      <c r="G385" t="inlineStr"/>
      <c r="H385" t="inlineStr"/>
      <c r="I385" t="inlineStr">
        <is>
          <t>310</t>
        </is>
      </c>
      <c r="J385" t="inlineStr"/>
      <c r="K385" t="inlineStr"/>
      <c r="L385" s="1">
        <f>HYPERLINK("https://www.hi.u-tokyo.ac.jp/collection/degitalgallary/ryukyu/item/10384", "https://www.hi.u-tokyo.ac.jp/collection/degitalgallary/ryukyu/item/10384")</f>
        <v/>
      </c>
    </row>
    <row r="386">
      <c r="A386" t="inlineStr">
        <is>
          <t>10385</t>
        </is>
      </c>
      <c r="B386" t="inlineStr">
        <is>
          <t>大船出入なし</t>
        </is>
      </c>
      <c r="C386" t="inlineStr">
        <is>
          <t>港湾</t>
        </is>
      </c>
      <c r="D386" t="inlineStr"/>
      <c r="E386" t="inlineStr"/>
      <c r="F386" t="inlineStr">
        <is>
          <t>正保琉球国絵図写</t>
        </is>
      </c>
      <c r="G386" t="inlineStr"/>
      <c r="H386" t="inlineStr"/>
      <c r="I386" t="inlineStr">
        <is>
          <t>311</t>
        </is>
      </c>
      <c r="J386" t="inlineStr"/>
      <c r="K386" t="inlineStr"/>
      <c r="L386" s="1">
        <f>HYPERLINK("https://www.hi.u-tokyo.ac.jp/collection/degitalgallary/ryukyu/item/10385", "https://www.hi.u-tokyo.ac.jp/collection/degitalgallary/ryukyu/item/10385")</f>
        <v/>
      </c>
    </row>
    <row r="387">
      <c r="A387" t="inlineStr">
        <is>
          <t>10386</t>
        </is>
      </c>
      <c r="B387" t="inlineStr">
        <is>
          <t>大船出入なし</t>
        </is>
      </c>
      <c r="C387" t="inlineStr">
        <is>
          <t>港湾</t>
        </is>
      </c>
      <c r="D387" t="inlineStr"/>
      <c r="E387" t="inlineStr"/>
      <c r="F387" t="inlineStr">
        <is>
          <t>正保琉球国絵図写</t>
        </is>
      </c>
      <c r="G387" t="inlineStr"/>
      <c r="H387" t="inlineStr"/>
      <c r="I387" t="inlineStr">
        <is>
          <t>312</t>
        </is>
      </c>
      <c r="J387" t="inlineStr"/>
      <c r="K387" t="inlineStr"/>
      <c r="L387" s="1">
        <f>HYPERLINK("https://www.hi.u-tokyo.ac.jp/collection/degitalgallary/ryukyu/item/10386", "https://www.hi.u-tokyo.ac.jp/collection/degitalgallary/ryukyu/item/10386")</f>
        <v/>
      </c>
    </row>
    <row r="388">
      <c r="A388" t="inlineStr">
        <is>
          <t>10387</t>
        </is>
      </c>
      <c r="B388" t="inlineStr">
        <is>
          <t>此間四間</t>
        </is>
      </c>
      <c r="C388" t="inlineStr">
        <is>
          <t>その他</t>
        </is>
      </c>
      <c r="D388" t="inlineStr"/>
      <c r="E388" t="inlineStr"/>
      <c r="F388" t="inlineStr">
        <is>
          <t>正保琉球国絵図写</t>
        </is>
      </c>
      <c r="G388" t="inlineStr"/>
      <c r="H388" t="inlineStr"/>
      <c r="I388" t="inlineStr">
        <is>
          <t>313</t>
        </is>
      </c>
      <c r="J388" t="inlineStr"/>
      <c r="K388" t="inlineStr"/>
      <c r="L388" s="1">
        <f>HYPERLINK("https://www.hi.u-tokyo.ac.jp/collection/degitalgallary/ryukyu/item/10387", "https://www.hi.u-tokyo.ac.jp/collection/degitalgallary/ryukyu/item/10387")</f>
        <v/>
      </c>
    </row>
    <row r="389">
      <c r="A389" t="inlineStr">
        <is>
          <t>10388</t>
        </is>
      </c>
      <c r="B389" t="inlineStr">
        <is>
          <t>かね崎</t>
        </is>
      </c>
      <c r="C389" t="inlineStr">
        <is>
          <t>崎</t>
        </is>
      </c>
      <c r="D389" t="inlineStr">
        <is>
          <t>27.049799</t>
        </is>
      </c>
      <c r="E389" t="inlineStr">
        <is>
          <t>128.402182</t>
        </is>
      </c>
      <c r="F389" t="inlineStr">
        <is>
          <t>正保琉球国絵図写</t>
        </is>
      </c>
      <c r="G389" t="inlineStr"/>
      <c r="H389" t="inlineStr"/>
      <c r="I389" t="inlineStr">
        <is>
          <t>314</t>
        </is>
      </c>
      <c r="J389" t="inlineStr"/>
      <c r="K389" t="inlineStr">
        <is>
          <t>鹿児島県大島郡与論町立長</t>
        </is>
      </c>
      <c r="L389" s="1">
        <f>HYPERLINK("https://www.hi.u-tokyo.ac.jp/collection/degitalgallary/ryukyu/item/10388", "https://www.hi.u-tokyo.ac.jp/collection/degitalgallary/ryukyu/item/10388")</f>
        <v/>
      </c>
    </row>
    <row r="390">
      <c r="A390" t="inlineStr">
        <is>
          <t>10389</t>
        </is>
      </c>
      <c r="B390" t="inlineStr">
        <is>
          <t>こはてずの浜</t>
        </is>
      </c>
      <c r="C390" t="inlineStr">
        <is>
          <t>その他</t>
        </is>
      </c>
      <c r="D390" t="inlineStr"/>
      <c r="E390" t="inlineStr"/>
      <c r="F390" t="inlineStr">
        <is>
          <t>正保琉球国絵図写</t>
        </is>
      </c>
      <c r="G390" t="inlineStr"/>
      <c r="H390" t="inlineStr"/>
      <c r="I390" t="inlineStr">
        <is>
          <t>315</t>
        </is>
      </c>
      <c r="J390" t="inlineStr"/>
      <c r="K390" t="inlineStr"/>
      <c r="L390" s="1">
        <f>HYPERLINK("https://www.hi.u-tokyo.ac.jp/collection/degitalgallary/ryukyu/item/10389", "https://www.hi.u-tokyo.ac.jp/collection/degitalgallary/ryukyu/item/10389")</f>
        <v/>
      </c>
    </row>
    <row r="391">
      <c r="A391" t="inlineStr">
        <is>
          <t>10390</t>
        </is>
      </c>
      <c r="B391" t="inlineStr">
        <is>
          <t>あがさ泊</t>
        </is>
      </c>
      <c r="C391" t="inlineStr">
        <is>
          <t>港湾</t>
        </is>
      </c>
      <c r="D391" t="inlineStr">
        <is>
          <t>27.0504243</t>
        </is>
      </c>
      <c r="E391" t="inlineStr">
        <is>
          <t>128.4030181</t>
        </is>
      </c>
      <c r="F391" t="inlineStr">
        <is>
          <t>正保琉球国絵図写</t>
        </is>
      </c>
      <c r="G391" t="inlineStr">
        <is>
          <t>此あがさ泊、入弐町、広さハ三町、干汐ニ深さ三尋、水底惣はへにて船繋り不自由、西風北風ノ時船繋り不成</t>
        </is>
      </c>
      <c r="H391" t="inlineStr"/>
      <c r="I391" t="inlineStr">
        <is>
          <t>316</t>
        </is>
      </c>
      <c r="J391" t="inlineStr"/>
      <c r="K391" t="inlineStr">
        <is>
          <t>鹿児島県大島郡与論町立長</t>
        </is>
      </c>
      <c r="L391" s="1">
        <f>HYPERLINK("https://www.hi.u-tokyo.ac.jp/collection/degitalgallary/ryukyu/item/10390", "https://www.hi.u-tokyo.ac.jp/collection/degitalgallary/ryukyu/item/10390")</f>
        <v/>
      </c>
    </row>
    <row r="392">
      <c r="A392" t="inlineStr">
        <is>
          <t>10391</t>
        </is>
      </c>
      <c r="B392" t="inlineStr">
        <is>
          <t>あがさ泊より悪鬼納嶋迄、海上廿里未申之間ニ当ル、此渡昼夜共ニ汐東へ落ル</t>
        </is>
      </c>
      <c r="C392" t="inlineStr">
        <is>
          <t>航路</t>
        </is>
      </c>
      <c r="D392" t="inlineStr"/>
      <c r="E392" t="inlineStr"/>
      <c r="F392" t="inlineStr">
        <is>
          <t>正保琉球国絵図写</t>
        </is>
      </c>
      <c r="G392" t="inlineStr"/>
      <c r="H392" t="inlineStr"/>
      <c r="I392" t="inlineStr">
        <is>
          <t>317</t>
        </is>
      </c>
      <c r="J392" t="inlineStr"/>
      <c r="K392" t="inlineStr"/>
      <c r="L392" s="1">
        <f>HYPERLINK("https://www.hi.u-tokyo.ac.jp/collection/degitalgallary/ryukyu/item/10391", "https://www.hi.u-tokyo.ac.jp/collection/degitalgallary/ryukyu/item/10391")</f>
        <v/>
      </c>
    </row>
    <row r="393">
      <c r="A393" t="inlineStr">
        <is>
          <t>10392</t>
        </is>
      </c>
      <c r="B393" t="inlineStr">
        <is>
          <t>（合印）</t>
        </is>
      </c>
      <c r="C393" t="inlineStr">
        <is>
          <t>その他</t>
        </is>
      </c>
      <c r="D393" t="inlineStr"/>
      <c r="E393" t="inlineStr"/>
      <c r="F393" t="inlineStr">
        <is>
          <t>正保琉球国絵図写</t>
        </is>
      </c>
      <c r="G393" t="inlineStr"/>
      <c r="H393" t="inlineStr">
        <is>
          <t>◇</t>
        </is>
      </c>
      <c r="I393" t="inlineStr"/>
      <c r="J393" t="inlineStr"/>
      <c r="K393" t="inlineStr"/>
      <c r="L393" s="1">
        <f>HYPERLINK("https://www.hi.u-tokyo.ac.jp/collection/degitalgallary/ryukyu/item/10392", "https://www.hi.u-tokyo.ac.jp/collection/degitalgallary/ryukyu/item/10392")</f>
        <v/>
      </c>
    </row>
    <row r="394">
      <c r="A394" t="inlineStr">
        <is>
          <t>20001</t>
        </is>
      </c>
      <c r="B394" t="inlineStr">
        <is>
          <t xml:space="preserve">　松平薩摩守
琉球国
高六万弐千百九拾九石　悪鬼納嶋
高弐百三石　計羅摩嶋
高四拾五石壱斗　戸無嶋
高三千六百七拾七石七斗　久米嶋
高七百弐拾七石四斗　粟嶋
高三千六百四拾三石　伊恵嶋
高七百五拾石弐斗　伊是名嶋
高五百四拾壱石六斗　恵平屋嶋
都合高七万千七百八拾七石</t>
        </is>
      </c>
      <c r="C394" t="inlineStr">
        <is>
          <t>畾紙</t>
        </is>
      </c>
      <c r="D394" t="inlineStr"/>
      <c r="E394" t="inlineStr"/>
      <c r="F394" t="inlineStr">
        <is>
          <t>正保琉球国悪鬼納島絵図写</t>
        </is>
      </c>
      <c r="G394" t="inlineStr"/>
      <c r="H394" t="inlineStr"/>
      <c r="I394" t="inlineStr"/>
      <c r="J394" t="inlineStr"/>
      <c r="K394" t="inlineStr"/>
      <c r="L394" s="1">
        <f>HYPERLINK("https://www.hi.u-tokyo.ac.jp/collection/degitalgallary/ryukyu/item/20001", "https://www.hi.u-tokyo.ac.jp/collection/degitalgallary/ryukyu/item/20001")</f>
        <v/>
      </c>
    </row>
    <row r="395">
      <c r="A395" t="inlineStr">
        <is>
          <t>20002</t>
        </is>
      </c>
      <c r="B395" t="inlineStr">
        <is>
          <t>東</t>
        </is>
      </c>
      <c r="C395" t="inlineStr">
        <is>
          <t>方位</t>
        </is>
      </c>
      <c r="D395" t="inlineStr"/>
      <c r="E395" t="inlineStr"/>
      <c r="F395" t="inlineStr">
        <is>
          <t>正保琉球国悪鬼納島絵図写</t>
        </is>
      </c>
      <c r="G395" t="inlineStr"/>
      <c r="H395" t="inlineStr"/>
      <c r="I395" t="inlineStr"/>
      <c r="J395" t="inlineStr">
        <is>
          <t>30020480000094900</t>
        </is>
      </c>
      <c r="K395" t="inlineStr"/>
      <c r="L395" s="1">
        <f>HYPERLINK("https://www.hi.u-tokyo.ac.jp/collection/degitalgallary/ryukyu/item/20002", "https://www.hi.u-tokyo.ac.jp/collection/degitalgallary/ryukyu/item/20002")</f>
        <v/>
      </c>
    </row>
    <row r="396">
      <c r="A396" t="inlineStr">
        <is>
          <t>20003</t>
        </is>
      </c>
      <c r="B396" t="inlineStr">
        <is>
          <t>南</t>
        </is>
      </c>
      <c r="C396" t="inlineStr">
        <is>
          <t>方位</t>
        </is>
      </c>
      <c r="D396" t="inlineStr"/>
      <c r="E396" t="inlineStr"/>
      <c r="F396" t="inlineStr">
        <is>
          <t>正保琉球国悪鬼納島絵図写</t>
        </is>
      </c>
      <c r="G396" t="inlineStr"/>
      <c r="H396" t="inlineStr"/>
      <c r="I396" t="inlineStr"/>
      <c r="J396" t="inlineStr"/>
      <c r="K396" t="inlineStr"/>
      <c r="L396" s="1">
        <f>HYPERLINK("https://www.hi.u-tokyo.ac.jp/collection/degitalgallary/ryukyu/item/20003", "https://www.hi.u-tokyo.ac.jp/collection/degitalgallary/ryukyu/item/20003")</f>
        <v/>
      </c>
    </row>
    <row r="397">
      <c r="A397" t="inlineStr">
        <is>
          <t>20004</t>
        </is>
      </c>
      <c r="B397" t="inlineStr">
        <is>
          <t>北</t>
        </is>
      </c>
      <c r="C397" t="inlineStr">
        <is>
          <t>方位</t>
        </is>
      </c>
      <c r="D397" t="inlineStr"/>
      <c r="E397" t="inlineStr"/>
      <c r="F397" t="inlineStr">
        <is>
          <t>正保琉球国悪鬼納島絵図写</t>
        </is>
      </c>
      <c r="G397" t="inlineStr"/>
      <c r="H397" t="inlineStr"/>
      <c r="I397" t="inlineStr"/>
      <c r="J397" t="inlineStr"/>
      <c r="K397" t="inlineStr"/>
      <c r="L397" s="1">
        <f>HYPERLINK("https://www.hi.u-tokyo.ac.jp/collection/degitalgallary/ryukyu/item/20004", "https://www.hi.u-tokyo.ac.jp/collection/degitalgallary/ryukyu/item/20004")</f>
        <v/>
      </c>
    </row>
    <row r="398">
      <c r="A398" t="inlineStr">
        <is>
          <t>20005</t>
        </is>
      </c>
      <c r="B398" t="inlineStr">
        <is>
          <t>西</t>
        </is>
      </c>
      <c r="C398" t="inlineStr">
        <is>
          <t>方位</t>
        </is>
      </c>
      <c r="D398" t="inlineStr"/>
      <c r="E398" t="inlineStr"/>
      <c r="F398" t="inlineStr">
        <is>
          <t>正保琉球国悪鬼納島絵図写</t>
        </is>
      </c>
      <c r="G398" t="inlineStr"/>
      <c r="H398" t="inlineStr"/>
      <c r="I398" t="inlineStr"/>
      <c r="J398" t="inlineStr"/>
      <c r="K398" t="inlineStr"/>
      <c r="L398" s="1">
        <f>HYPERLINK("https://www.hi.u-tokyo.ac.jp/collection/degitalgallary/ryukyu/item/20005", "https://www.hi.u-tokyo.ac.jp/collection/degitalgallary/ryukyu/item/20005")</f>
        <v/>
      </c>
    </row>
    <row r="399">
      <c r="A399" t="inlineStr">
        <is>
          <t>20006</t>
        </is>
      </c>
      <c r="B399" t="inlineStr">
        <is>
          <t>首里
王城</t>
        </is>
      </c>
      <c r="C399" t="inlineStr">
        <is>
          <t>都市</t>
        </is>
      </c>
      <c r="D399" t="inlineStr">
        <is>
          <t>26.2171335</t>
        </is>
      </c>
      <c r="E399" t="inlineStr">
        <is>
          <t>127.7194486</t>
        </is>
      </c>
      <c r="F399" t="inlineStr">
        <is>
          <t>正保琉球国悪鬼納島絵図写</t>
        </is>
      </c>
      <c r="G399" t="inlineStr"/>
      <c r="H399" t="inlineStr"/>
      <c r="I399" t="inlineStr">
        <is>
          <t>［1］</t>
        </is>
      </c>
      <c r="J399" t="inlineStr"/>
      <c r="K399" t="inlineStr">
        <is>
          <t>沖縄県那覇市首里当蔵町</t>
        </is>
      </c>
      <c r="L399" s="1">
        <f>HYPERLINK("https://www.hi.u-tokyo.ac.jp/collection/degitalgallary/ryukyu/item/20006", "https://www.hi.u-tokyo.ac.jp/collection/degitalgallary/ryukyu/item/20006")</f>
        <v/>
      </c>
    </row>
    <row r="400">
      <c r="A400" t="inlineStr">
        <is>
          <t>20007</t>
        </is>
      </c>
      <c r="B400" t="inlineStr">
        <is>
          <t>南風原間切</t>
        </is>
      </c>
      <c r="C400" t="inlineStr">
        <is>
          <t>間切</t>
        </is>
      </c>
      <c r="D400" t="inlineStr">
        <is>
          <t>26.1980955</t>
        </is>
      </c>
      <c r="E400" t="inlineStr">
        <is>
          <t>127.6985129</t>
        </is>
      </c>
      <c r="F400" t="inlineStr">
        <is>
          <t>正保琉球国悪鬼納島絵図写</t>
        </is>
      </c>
      <c r="G400" t="inlineStr">
        <is>
          <t>千三百七十五石余</t>
        </is>
      </c>
      <c r="H400" t="inlineStr"/>
      <c r="I400" t="inlineStr">
        <is>
          <t>〔2〕</t>
        </is>
      </c>
      <c r="J400" t="inlineStr">
        <is>
          <t>30020480000052300</t>
        </is>
      </c>
      <c r="K400" t="inlineStr">
        <is>
          <t>沖縄県那覇市国場</t>
        </is>
      </c>
      <c r="L400" s="1">
        <f>HYPERLINK("https://www.hi.u-tokyo.ac.jp/collection/degitalgallary/ryukyu/item/20007", "https://www.hi.u-tokyo.ac.jp/collection/degitalgallary/ryukyu/item/20007")</f>
        <v/>
      </c>
    </row>
    <row r="401">
      <c r="A401" t="inlineStr">
        <is>
          <t>20008</t>
        </is>
      </c>
      <c r="B401" t="inlineStr">
        <is>
          <t>嶋添大里間切</t>
        </is>
      </c>
      <c r="C401" t="inlineStr">
        <is>
          <t>間切</t>
        </is>
      </c>
      <c r="D401" t="inlineStr"/>
      <c r="E401" t="inlineStr"/>
      <c r="F401" t="inlineStr">
        <is>
          <t>正保琉球国悪鬼納島絵図写</t>
        </is>
      </c>
      <c r="G401" t="inlineStr">
        <is>
          <t>三千廿九石余</t>
        </is>
      </c>
      <c r="H401" t="inlineStr"/>
      <c r="I401" t="inlineStr">
        <is>
          <t>〔3〕</t>
        </is>
      </c>
      <c r="J401" t="inlineStr"/>
      <c r="K401" t="inlineStr"/>
      <c r="L401" s="1">
        <f>HYPERLINK("https://www.hi.u-tokyo.ac.jp/collection/degitalgallary/ryukyu/item/20008", "https://www.hi.u-tokyo.ac.jp/collection/degitalgallary/ryukyu/item/20008")</f>
        <v/>
      </c>
    </row>
    <row r="402">
      <c r="A402" t="inlineStr">
        <is>
          <t>20009</t>
        </is>
      </c>
      <c r="B402" t="inlineStr">
        <is>
          <t>佐敷間切</t>
        </is>
      </c>
      <c r="C402" t="inlineStr">
        <is>
          <t>間切</t>
        </is>
      </c>
      <c r="D402" t="inlineStr">
        <is>
          <t>26.1744432</t>
        </is>
      </c>
      <c r="E402" t="inlineStr">
        <is>
          <t>127.771594</t>
        </is>
      </c>
      <c r="F402" t="inlineStr">
        <is>
          <t>正保琉球国悪鬼納島絵図写</t>
        </is>
      </c>
      <c r="G402" t="inlineStr">
        <is>
          <t>九百廿八石余</t>
        </is>
      </c>
      <c r="H402" t="inlineStr"/>
      <c r="I402" t="inlineStr">
        <is>
          <t>〔4〕</t>
        </is>
      </c>
      <c r="J402" t="inlineStr">
        <is>
          <t>30020480000061500</t>
        </is>
      </c>
      <c r="K402" t="inlineStr">
        <is>
          <t>沖縄県南城市佐敷新里</t>
        </is>
      </c>
      <c r="L402" s="1">
        <f>HYPERLINK("https://www.hi.u-tokyo.ac.jp/collection/degitalgallary/ryukyu/item/20009", "https://www.hi.u-tokyo.ac.jp/collection/degitalgallary/ryukyu/item/20009")</f>
        <v/>
      </c>
    </row>
    <row r="403">
      <c r="A403" t="inlineStr">
        <is>
          <t>20010</t>
        </is>
      </c>
      <c r="B403" t="inlineStr">
        <is>
          <t>知念間切</t>
        </is>
      </c>
      <c r="C403" t="inlineStr">
        <is>
          <t>間切</t>
        </is>
      </c>
      <c r="D403" t="inlineStr">
        <is>
          <t>26.1630995</t>
        </is>
      </c>
      <c r="E403" t="inlineStr">
        <is>
          <t>127.8167329</t>
        </is>
      </c>
      <c r="F403" t="inlineStr">
        <is>
          <t>正保琉球国悪鬼納島絵図写</t>
        </is>
      </c>
      <c r="G403" t="inlineStr">
        <is>
          <t>八百九十八石余</t>
        </is>
      </c>
      <c r="H403" t="inlineStr"/>
      <c r="I403" t="inlineStr">
        <is>
          <t>〔5〕</t>
        </is>
      </c>
      <c r="J403" t="inlineStr">
        <is>
          <t>30020480000063400</t>
        </is>
      </c>
      <c r="K403" t="inlineStr">
        <is>
          <t>沖縄県南城市知念知念</t>
        </is>
      </c>
      <c r="L403" s="1">
        <f>HYPERLINK("https://www.hi.u-tokyo.ac.jp/collection/degitalgallary/ryukyu/item/20010", "https://www.hi.u-tokyo.ac.jp/collection/degitalgallary/ryukyu/item/20010")</f>
        <v/>
      </c>
    </row>
    <row r="404">
      <c r="A404" t="inlineStr">
        <is>
          <t>20011</t>
        </is>
      </c>
      <c r="B404" t="inlineStr">
        <is>
          <t>玉城間切</t>
        </is>
      </c>
      <c r="C404" t="inlineStr">
        <is>
          <t>間切</t>
        </is>
      </c>
      <c r="D404" t="inlineStr">
        <is>
          <t>26.1442917</t>
        </is>
      </c>
      <c r="E404" t="inlineStr">
        <is>
          <t>127.771594</t>
        </is>
      </c>
      <c r="F404" t="inlineStr">
        <is>
          <t>正保琉球国悪鬼納島絵図写</t>
        </is>
      </c>
      <c r="G404" t="inlineStr">
        <is>
          <t>千三百六十九石余</t>
        </is>
      </c>
      <c r="H404" t="inlineStr"/>
      <c r="I404" t="inlineStr">
        <is>
          <t>〔6〕</t>
        </is>
      </c>
      <c r="J404" t="inlineStr">
        <is>
          <t>30020480000066200</t>
        </is>
      </c>
      <c r="K404" t="inlineStr">
        <is>
          <t>沖縄県南城市玉城富里</t>
        </is>
      </c>
      <c r="L404" s="1">
        <f>HYPERLINK("https://www.hi.u-tokyo.ac.jp/collection/degitalgallary/ryukyu/item/20011", "https://www.hi.u-tokyo.ac.jp/collection/degitalgallary/ryukyu/item/20011")</f>
        <v/>
      </c>
    </row>
    <row r="405">
      <c r="A405" t="inlineStr">
        <is>
          <t>20012</t>
        </is>
      </c>
      <c r="B405" t="inlineStr">
        <is>
          <t>東風平間切</t>
        </is>
      </c>
      <c r="C405" t="inlineStr">
        <is>
          <t>間切</t>
        </is>
      </c>
      <c r="D405" t="inlineStr">
        <is>
          <t>26.176111</t>
        </is>
      </c>
      <c r="E405" t="inlineStr">
        <is>
          <t>127.7225</t>
        </is>
      </c>
      <c r="F405" t="inlineStr">
        <is>
          <t>正保琉球国悪鬼納島絵図写</t>
        </is>
      </c>
      <c r="G405" t="inlineStr">
        <is>
          <t>千五百八十四石余</t>
        </is>
      </c>
      <c r="H405" t="inlineStr"/>
      <c r="I405" t="inlineStr">
        <is>
          <t>〔7〕</t>
        </is>
      </c>
      <c r="J405" t="inlineStr">
        <is>
          <t>30020480000054400</t>
        </is>
      </c>
      <c r="K405" t="inlineStr"/>
      <c r="L405" s="1">
        <f>HYPERLINK("https://www.hi.u-tokyo.ac.jp/collection/degitalgallary/ryukyu/item/20012", "https://www.hi.u-tokyo.ac.jp/collection/degitalgallary/ryukyu/item/20012")</f>
        <v/>
      </c>
    </row>
    <row r="406">
      <c r="A406" t="inlineStr">
        <is>
          <t>20013</t>
        </is>
      </c>
      <c r="B406" t="inlineStr">
        <is>
          <t>具志上間切</t>
        </is>
      </c>
      <c r="C406" t="inlineStr">
        <is>
          <t>間切</t>
        </is>
      </c>
      <c r="D406" t="inlineStr"/>
      <c r="E406" t="inlineStr"/>
      <c r="F406" t="inlineStr">
        <is>
          <t>正保琉球国悪鬼納島絵図写</t>
        </is>
      </c>
      <c r="G406" t="inlineStr">
        <is>
          <t>八百廿九石余</t>
        </is>
      </c>
      <c r="H406" t="inlineStr"/>
      <c r="I406" t="inlineStr">
        <is>
          <t>〔8〕</t>
        </is>
      </c>
      <c r="J406" t="inlineStr"/>
      <c r="K406" t="inlineStr"/>
      <c r="L406" s="1">
        <f>HYPERLINK("https://www.hi.u-tokyo.ac.jp/collection/degitalgallary/ryukyu/item/20013", "https://www.hi.u-tokyo.ac.jp/collection/degitalgallary/ryukyu/item/20013")</f>
        <v/>
      </c>
    </row>
    <row r="407">
      <c r="A407" t="inlineStr">
        <is>
          <t>20014</t>
        </is>
      </c>
      <c r="B407" t="inlineStr">
        <is>
          <t>嶋尻大里間切</t>
        </is>
      </c>
      <c r="C407" t="inlineStr">
        <is>
          <t>間切</t>
        </is>
      </c>
      <c r="D407" t="inlineStr">
        <is>
          <t>26.1236704</t>
        </is>
      </c>
      <c r="E407" t="inlineStr">
        <is>
          <t>127.6657634</t>
        </is>
      </c>
      <c r="F407" t="inlineStr">
        <is>
          <t>正保琉球国悪鬼納島絵図写</t>
        </is>
      </c>
      <c r="G407" t="inlineStr">
        <is>
          <t>千八百卅弐石余</t>
        </is>
      </c>
      <c r="H407" t="inlineStr"/>
      <c r="I407" t="inlineStr">
        <is>
          <t>〔9〕</t>
        </is>
      </c>
      <c r="J407" t="inlineStr"/>
      <c r="K407" t="inlineStr">
        <is>
          <t>沖縄県糸満市潮崎町</t>
        </is>
      </c>
      <c r="L407" s="1">
        <f>HYPERLINK("https://www.hi.u-tokyo.ac.jp/collection/degitalgallary/ryukyu/item/20014", "https://www.hi.u-tokyo.ac.jp/collection/degitalgallary/ryukyu/item/20014")</f>
        <v/>
      </c>
    </row>
    <row r="408">
      <c r="A408" t="inlineStr">
        <is>
          <t>20015</t>
        </is>
      </c>
      <c r="B408" t="inlineStr">
        <is>
          <t>真加比間切</t>
        </is>
      </c>
      <c r="C408" t="inlineStr">
        <is>
          <t>間切</t>
        </is>
      </c>
      <c r="D408" t="inlineStr">
        <is>
          <t>26.1236704</t>
        </is>
      </c>
      <c r="E408" t="inlineStr">
        <is>
          <t>127.6657634</t>
        </is>
      </c>
      <c r="F408" t="inlineStr">
        <is>
          <t>正保琉球国悪鬼納島絵図写</t>
        </is>
      </c>
      <c r="G408" t="inlineStr">
        <is>
          <t>八百五拾五石余</t>
        </is>
      </c>
      <c r="H408" t="inlineStr">
        <is>
          <t>番号入替</t>
        </is>
      </c>
      <c r="I408" t="inlineStr">
        <is>
          <t>〔10〕</t>
        </is>
      </c>
      <c r="J408" t="inlineStr"/>
      <c r="K408" t="inlineStr">
        <is>
          <t>沖縄県糸満市潮崎町</t>
        </is>
      </c>
      <c r="L408" s="1">
        <f>HYPERLINK("https://www.hi.u-tokyo.ac.jp/collection/degitalgallary/ryukyu/item/20015", "https://www.hi.u-tokyo.ac.jp/collection/degitalgallary/ryukyu/item/20015")</f>
        <v/>
      </c>
    </row>
    <row r="409">
      <c r="A409" t="inlineStr">
        <is>
          <t>20016</t>
        </is>
      </c>
      <c r="B409" t="inlineStr">
        <is>
          <t>摩文仁間切</t>
        </is>
      </c>
      <c r="C409" t="inlineStr">
        <is>
          <t>間切</t>
        </is>
      </c>
      <c r="D409" t="inlineStr">
        <is>
          <t>26.1236704</t>
        </is>
      </c>
      <c r="E409" t="inlineStr">
        <is>
          <t>127.6657634</t>
        </is>
      </c>
      <c r="F409" t="inlineStr">
        <is>
          <t>正保琉球国悪鬼納島絵図写</t>
        </is>
      </c>
      <c r="G409" t="inlineStr">
        <is>
          <t>五百八十三石余</t>
        </is>
      </c>
      <c r="H409" t="inlineStr"/>
      <c r="I409" t="inlineStr">
        <is>
          <t>〔11〕</t>
        </is>
      </c>
      <c r="J409" t="inlineStr">
        <is>
          <t>30020480000046200</t>
        </is>
      </c>
      <c r="K409" t="inlineStr">
        <is>
          <t>沖縄県糸満市潮崎町</t>
        </is>
      </c>
      <c r="L409" s="1">
        <f>HYPERLINK("https://www.hi.u-tokyo.ac.jp/collection/degitalgallary/ryukyu/item/20016", "https://www.hi.u-tokyo.ac.jp/collection/degitalgallary/ryukyu/item/20016")</f>
        <v/>
      </c>
    </row>
    <row r="410">
      <c r="A410" t="inlineStr">
        <is>
          <t>20017</t>
        </is>
      </c>
      <c r="B410" t="inlineStr">
        <is>
          <t>喜屋武間切</t>
        </is>
      </c>
      <c r="C410" t="inlineStr">
        <is>
          <t>間切</t>
        </is>
      </c>
      <c r="D410" t="inlineStr">
        <is>
          <t>26.1236704</t>
        </is>
      </c>
      <c r="E410" t="inlineStr">
        <is>
          <t>127.6657634</t>
        </is>
      </c>
      <c r="F410" t="inlineStr">
        <is>
          <t>正保琉球国悪鬼納島絵図写</t>
        </is>
      </c>
      <c r="G410" t="inlineStr">
        <is>
          <t>五百六拾五石余</t>
        </is>
      </c>
      <c r="H410" t="inlineStr"/>
      <c r="I410" t="inlineStr">
        <is>
          <t>〔12〕</t>
        </is>
      </c>
      <c r="J410" t="inlineStr">
        <is>
          <t>30020480000046300</t>
        </is>
      </c>
      <c r="K410" t="inlineStr">
        <is>
          <t>沖縄県糸満市潮崎町</t>
        </is>
      </c>
      <c r="L410" s="1">
        <f>HYPERLINK("https://www.hi.u-tokyo.ac.jp/collection/degitalgallary/ryukyu/item/20017", "https://www.hi.u-tokyo.ac.jp/collection/degitalgallary/ryukyu/item/20017")</f>
        <v/>
      </c>
    </row>
    <row r="411">
      <c r="A411" t="inlineStr">
        <is>
          <t>20018</t>
        </is>
      </c>
      <c r="B411" t="inlineStr">
        <is>
          <t>兼城間切</t>
        </is>
      </c>
      <c r="C411" t="inlineStr">
        <is>
          <t>間切</t>
        </is>
      </c>
      <c r="D411" t="inlineStr">
        <is>
          <t>26.1236704</t>
        </is>
      </c>
      <c r="E411" t="inlineStr">
        <is>
          <t>127.6657634</t>
        </is>
      </c>
      <c r="F411" t="inlineStr">
        <is>
          <t>正保琉球国悪鬼納島絵図写</t>
        </is>
      </c>
      <c r="G411" t="inlineStr">
        <is>
          <t>九百七拾石余</t>
        </is>
      </c>
      <c r="H411" t="inlineStr"/>
      <c r="I411" t="inlineStr">
        <is>
          <t>〔13〕</t>
        </is>
      </c>
      <c r="J411" t="inlineStr">
        <is>
          <t>30020480000045900</t>
        </is>
      </c>
      <c r="K411" t="inlineStr">
        <is>
          <t>沖縄県糸満市潮崎町</t>
        </is>
      </c>
      <c r="L411" s="1">
        <f>HYPERLINK("https://www.hi.u-tokyo.ac.jp/collection/degitalgallary/ryukyu/item/20018", "https://www.hi.u-tokyo.ac.jp/collection/degitalgallary/ryukyu/item/20018")</f>
        <v/>
      </c>
    </row>
    <row r="412">
      <c r="A412" t="inlineStr">
        <is>
          <t>20019</t>
        </is>
      </c>
      <c r="B412" t="inlineStr">
        <is>
          <t>豊見城間切</t>
        </is>
      </c>
      <c r="C412" t="inlineStr">
        <is>
          <t>間切</t>
        </is>
      </c>
      <c r="D412" t="inlineStr">
        <is>
          <t>26.1610648</t>
        </is>
      </c>
      <c r="E412" t="inlineStr">
        <is>
          <t>127.6689865</t>
        </is>
      </c>
      <c r="F412" t="inlineStr">
        <is>
          <t>正保琉球国悪鬼納島絵図写</t>
        </is>
      </c>
      <c r="G412" t="inlineStr">
        <is>
          <t>三千百卅七石余</t>
        </is>
      </c>
      <c r="H412" t="inlineStr"/>
      <c r="I412" t="inlineStr">
        <is>
          <t>〔14〕</t>
        </is>
      </c>
      <c r="J412" t="inlineStr">
        <is>
          <t>30020480000041600</t>
        </is>
      </c>
      <c r="K412" t="inlineStr">
        <is>
          <t>沖縄県豊見城市翁長</t>
        </is>
      </c>
      <c r="L412" s="1">
        <f>HYPERLINK("https://www.hi.u-tokyo.ac.jp/collection/degitalgallary/ryukyu/item/20019", "https://www.hi.u-tokyo.ac.jp/collection/degitalgallary/ryukyu/item/20019")</f>
        <v/>
      </c>
    </row>
    <row r="413">
      <c r="A413" t="inlineStr">
        <is>
          <t>20020</t>
        </is>
      </c>
      <c r="B413" t="inlineStr">
        <is>
          <t>真和志間切</t>
        </is>
      </c>
      <c r="C413" t="inlineStr">
        <is>
          <t>間切</t>
        </is>
      </c>
      <c r="D413" t="inlineStr">
        <is>
          <t>26.2483209</t>
        </is>
      </c>
      <c r="E413" t="inlineStr">
        <is>
          <t>127.6925302</t>
        </is>
      </c>
      <c r="F413" t="inlineStr">
        <is>
          <t>正保琉球国悪鬼納島絵図写</t>
        </is>
      </c>
      <c r="G413" t="inlineStr">
        <is>
          <t>弐千三百六拾八石余</t>
        </is>
      </c>
      <c r="H413" t="inlineStr"/>
      <c r="I413" t="inlineStr">
        <is>
          <t>〔15〕</t>
        </is>
      </c>
      <c r="J413" t="inlineStr">
        <is>
          <t>30020480000034300</t>
        </is>
      </c>
      <c r="K413" t="inlineStr">
        <is>
          <t>沖縄県浦添市小湾</t>
        </is>
      </c>
      <c r="L413" s="1">
        <f>HYPERLINK("https://www.hi.u-tokyo.ac.jp/collection/degitalgallary/ryukyu/item/20020", "https://www.hi.u-tokyo.ac.jp/collection/degitalgallary/ryukyu/item/20020")</f>
        <v/>
      </c>
    </row>
    <row r="414">
      <c r="A414" t="inlineStr">
        <is>
          <t>20021</t>
        </is>
      </c>
      <c r="B414" t="inlineStr">
        <is>
          <t>浦添間切</t>
        </is>
      </c>
      <c r="C414" t="inlineStr">
        <is>
          <t>間切</t>
        </is>
      </c>
      <c r="D414" t="inlineStr">
        <is>
          <t>26.2815391</t>
        </is>
      </c>
      <c r="E414" t="inlineStr">
        <is>
          <t>127.7785065</t>
        </is>
      </c>
      <c r="F414" t="inlineStr">
        <is>
          <t>正保琉球国悪鬼納島絵図写</t>
        </is>
      </c>
      <c r="G414" t="inlineStr">
        <is>
          <t>五千三百卅五石余</t>
        </is>
      </c>
      <c r="H414" t="inlineStr"/>
      <c r="I414" t="inlineStr">
        <is>
          <t>〔16〕</t>
        </is>
      </c>
      <c r="J414" t="inlineStr">
        <is>
          <t>30020480000072400</t>
        </is>
      </c>
      <c r="K414" t="inlineStr">
        <is>
          <t>沖縄県宜野湾市野嵩</t>
        </is>
      </c>
      <c r="L414" s="1">
        <f>HYPERLINK("https://www.hi.u-tokyo.ac.jp/collection/degitalgallary/ryukyu/item/20021", "https://www.hi.u-tokyo.ac.jp/collection/degitalgallary/ryukyu/item/20021")</f>
        <v/>
      </c>
    </row>
    <row r="415">
      <c r="A415" t="inlineStr">
        <is>
          <t>20022</t>
        </is>
      </c>
      <c r="B415" t="inlineStr">
        <is>
          <t>西原間切</t>
        </is>
      </c>
      <c r="C415" t="inlineStr">
        <is>
          <t>間切</t>
        </is>
      </c>
      <c r="D415" t="inlineStr">
        <is>
          <t>26.2228349</t>
        </is>
      </c>
      <c r="E415" t="inlineStr">
        <is>
          <t>127.7588392</t>
        </is>
      </c>
      <c r="F415" t="inlineStr">
        <is>
          <t>正保琉球国悪鬼納島絵図写</t>
        </is>
      </c>
      <c r="G415" t="inlineStr">
        <is>
          <t>弐千八百九十七石余</t>
        </is>
      </c>
      <c r="H415" t="inlineStr"/>
      <c r="I415" t="inlineStr">
        <is>
          <t>〔17〕</t>
        </is>
      </c>
      <c r="J415" t="inlineStr">
        <is>
          <t>30020480000069800</t>
        </is>
      </c>
      <c r="K415" t="inlineStr">
        <is>
          <t>沖縄県中頭郡西原町与那城</t>
        </is>
      </c>
      <c r="L415" s="1">
        <f>HYPERLINK("https://www.hi.u-tokyo.ac.jp/collection/degitalgallary/ryukyu/item/20022", "https://www.hi.u-tokyo.ac.jp/collection/degitalgallary/ryukyu/item/20022")</f>
        <v/>
      </c>
    </row>
    <row r="416">
      <c r="A416" t="inlineStr">
        <is>
          <t>20023</t>
        </is>
      </c>
      <c r="B416" t="inlineStr">
        <is>
          <t>中城間切</t>
        </is>
      </c>
      <c r="C416" t="inlineStr">
        <is>
          <t>間切</t>
        </is>
      </c>
      <c r="D416" t="inlineStr">
        <is>
          <t>26.2671905</t>
        </is>
      </c>
      <c r="E416" t="inlineStr">
        <is>
          <t>127.7910006</t>
        </is>
      </c>
      <c r="F416" t="inlineStr">
        <is>
          <t>正保琉球国悪鬼納島絵図写</t>
        </is>
      </c>
      <c r="G416" t="inlineStr">
        <is>
          <t>三千百六石余</t>
        </is>
      </c>
      <c r="H416" t="inlineStr"/>
      <c r="I416" t="inlineStr">
        <is>
          <t>〔18〕</t>
        </is>
      </c>
      <c r="J416" t="inlineStr">
        <is>
          <t>30020480000081900</t>
        </is>
      </c>
      <c r="K416" t="inlineStr">
        <is>
          <t>沖縄県中頭郡中城村当間</t>
        </is>
      </c>
      <c r="L416" s="1">
        <f>HYPERLINK("https://www.hi.u-tokyo.ac.jp/collection/degitalgallary/ryukyu/item/20023", "https://www.hi.u-tokyo.ac.jp/collection/degitalgallary/ryukyu/item/20023")</f>
        <v/>
      </c>
    </row>
    <row r="417">
      <c r="A417" t="inlineStr">
        <is>
          <t>20024</t>
        </is>
      </c>
      <c r="B417" t="inlineStr">
        <is>
          <t>北谷間切</t>
        </is>
      </c>
      <c r="C417" t="inlineStr">
        <is>
          <t>間切</t>
        </is>
      </c>
      <c r="D417" t="inlineStr">
        <is>
          <t>26.3616176</t>
        </is>
      </c>
      <c r="E417" t="inlineStr">
        <is>
          <t>127.7549744</t>
        </is>
      </c>
      <c r="F417" t="inlineStr">
        <is>
          <t>正保琉球国悪鬼納島絵図写</t>
        </is>
      </c>
      <c r="G417" t="inlineStr">
        <is>
          <t>三千四百卅五石余</t>
        </is>
      </c>
      <c r="H417" t="inlineStr"/>
      <c r="I417" t="inlineStr">
        <is>
          <t>〔19〕</t>
        </is>
      </c>
      <c r="J417" t="inlineStr">
        <is>
          <t>30020480000091400</t>
        </is>
      </c>
      <c r="K417" t="inlineStr">
        <is>
          <t>沖縄県中頭郡嘉手納町嘉手納</t>
        </is>
      </c>
      <c r="L417" s="1">
        <f>HYPERLINK("https://www.hi.u-tokyo.ac.jp/collection/degitalgallary/ryukyu/item/20024", "https://www.hi.u-tokyo.ac.jp/collection/degitalgallary/ryukyu/item/20024")</f>
        <v/>
      </c>
    </row>
    <row r="418">
      <c r="A418" t="inlineStr">
        <is>
          <t>20025</t>
        </is>
      </c>
      <c r="B418" t="inlineStr">
        <is>
          <t>具志川間切</t>
        </is>
      </c>
      <c r="C418" t="inlineStr">
        <is>
          <t>間切</t>
        </is>
      </c>
      <c r="D418" t="inlineStr">
        <is>
          <t>26.3786847</t>
        </is>
      </c>
      <c r="E418" t="inlineStr">
        <is>
          <t>127.8574931</t>
        </is>
      </c>
      <c r="F418" t="inlineStr">
        <is>
          <t>正保琉球国悪鬼納島絵図写</t>
        </is>
      </c>
      <c r="G418" t="inlineStr">
        <is>
          <t>四千七十三石余</t>
        </is>
      </c>
      <c r="H418" t="inlineStr"/>
      <c r="I418" t="inlineStr">
        <is>
          <t>〔20〕</t>
        </is>
      </c>
      <c r="J418" t="inlineStr">
        <is>
          <t>30020480000099400</t>
        </is>
      </c>
      <c r="K418" t="inlineStr">
        <is>
          <t>沖縄県うるま市みどり町</t>
        </is>
      </c>
      <c r="L418" s="1">
        <f>HYPERLINK("https://www.hi.u-tokyo.ac.jp/collection/degitalgallary/ryukyu/item/20025", "https://www.hi.u-tokyo.ac.jp/collection/degitalgallary/ryukyu/item/20025")</f>
        <v/>
      </c>
    </row>
    <row r="419">
      <c r="A419" t="inlineStr">
        <is>
          <t>20026</t>
        </is>
      </c>
      <c r="B419" t="inlineStr">
        <is>
          <t>勝連間切</t>
        </is>
      </c>
      <c r="C419" t="inlineStr">
        <is>
          <t>間切</t>
        </is>
      </c>
      <c r="D419" t="inlineStr">
        <is>
          <t>26.3305246</t>
        </is>
      </c>
      <c r="E419" t="inlineStr">
        <is>
          <t>127.8789737</t>
        </is>
      </c>
      <c r="F419" t="inlineStr">
        <is>
          <t>正保琉球国悪鬼納島絵図写</t>
        </is>
      </c>
      <c r="G419" t="inlineStr">
        <is>
          <t>弐千廿弐石余</t>
        </is>
      </c>
      <c r="H419" t="inlineStr"/>
      <c r="I419" t="inlineStr">
        <is>
          <t>〔21〕</t>
        </is>
      </c>
      <c r="J419" t="inlineStr">
        <is>
          <t>30020480000102300</t>
        </is>
      </c>
      <c r="K419" t="inlineStr">
        <is>
          <t>沖縄県うるま市勝連南風原</t>
        </is>
      </c>
      <c r="L419" s="1">
        <f>HYPERLINK("https://www.hi.u-tokyo.ac.jp/collection/degitalgallary/ryukyu/item/20026", "https://www.hi.u-tokyo.ac.jp/collection/degitalgallary/ryukyu/item/20026")</f>
        <v/>
      </c>
    </row>
    <row r="420">
      <c r="A420" t="inlineStr">
        <is>
          <t>20027</t>
        </is>
      </c>
      <c r="B420" t="inlineStr">
        <is>
          <t>越来間切</t>
        </is>
      </c>
      <c r="C420" t="inlineStr">
        <is>
          <t>間切</t>
        </is>
      </c>
      <c r="D420" t="inlineStr">
        <is>
          <t>26.3343533</t>
        </is>
      </c>
      <c r="E420" t="inlineStr">
        <is>
          <t>127.8056058</t>
        </is>
      </c>
      <c r="F420" t="inlineStr">
        <is>
          <t>正保琉球国悪鬼納島絵図写</t>
        </is>
      </c>
      <c r="G420" t="inlineStr">
        <is>
          <t>四千三百八十一石余</t>
        </is>
      </c>
      <c r="H420" t="inlineStr"/>
      <c r="I420" t="inlineStr">
        <is>
          <t>〔22〕</t>
        </is>
      </c>
      <c r="J420" t="inlineStr">
        <is>
          <t>30020480000086400</t>
        </is>
      </c>
      <c r="K420" t="inlineStr">
        <is>
          <t>沖縄県沖縄市仲宗根町</t>
        </is>
      </c>
      <c r="L420" s="1">
        <f>HYPERLINK("https://www.hi.u-tokyo.ac.jp/collection/degitalgallary/ryukyu/item/20027", "https://www.hi.u-tokyo.ac.jp/collection/degitalgallary/ryukyu/item/20027")</f>
        <v/>
      </c>
    </row>
    <row r="421">
      <c r="A421" t="inlineStr">
        <is>
          <t>20028</t>
        </is>
      </c>
      <c r="B421" t="inlineStr">
        <is>
          <t>読谷山間切</t>
        </is>
      </c>
      <c r="C421" t="inlineStr">
        <is>
          <t>間切</t>
        </is>
      </c>
      <c r="D421" t="inlineStr">
        <is>
          <t>26.3960774</t>
        </is>
      </c>
      <c r="E421" t="inlineStr">
        <is>
          <t>127.7444117</t>
        </is>
      </c>
      <c r="F421" t="inlineStr">
        <is>
          <t>正保琉球国悪鬼納島絵図写</t>
        </is>
      </c>
      <c r="G421" t="inlineStr">
        <is>
          <t>四千九百六拾三石余</t>
        </is>
      </c>
      <c r="H421" t="inlineStr"/>
      <c r="I421" t="inlineStr">
        <is>
          <t>〔23〕</t>
        </is>
      </c>
      <c r="J421" t="inlineStr">
        <is>
          <t>30020480000096200</t>
        </is>
      </c>
      <c r="K421" t="inlineStr">
        <is>
          <t>沖縄県中頭郡読谷村座喜味</t>
        </is>
      </c>
      <c r="L421" s="1">
        <f>HYPERLINK("https://www.hi.u-tokyo.ac.jp/collection/degitalgallary/ryukyu/item/20028", "https://www.hi.u-tokyo.ac.jp/collection/degitalgallary/ryukyu/item/20028")</f>
        <v/>
      </c>
    </row>
    <row r="422">
      <c r="A422" t="inlineStr">
        <is>
          <t>20029</t>
        </is>
      </c>
      <c r="B422" t="inlineStr">
        <is>
          <t>金武間切</t>
        </is>
      </c>
      <c r="C422" t="inlineStr">
        <is>
          <t>間切</t>
        </is>
      </c>
      <c r="D422" t="inlineStr">
        <is>
          <t>26.4561898</t>
        </is>
      </c>
      <c r="E422" t="inlineStr">
        <is>
          <t>127.9259867</t>
        </is>
      </c>
      <c r="F422" t="inlineStr">
        <is>
          <t>正保琉球国悪鬼納島絵図写</t>
        </is>
      </c>
      <c r="G422" t="inlineStr">
        <is>
          <t>千九百五十三石余</t>
        </is>
      </c>
      <c r="H422" t="inlineStr"/>
      <c r="I422" t="inlineStr">
        <is>
          <t>〔24〕</t>
        </is>
      </c>
      <c r="J422" t="inlineStr">
        <is>
          <t>30020480000111900</t>
        </is>
      </c>
      <c r="K422" t="inlineStr">
        <is>
          <t>沖縄県国頭郡金武町金武</t>
        </is>
      </c>
      <c r="L422" s="1">
        <f>HYPERLINK("https://www.hi.u-tokyo.ac.jp/collection/degitalgallary/ryukyu/item/20029", "https://www.hi.u-tokyo.ac.jp/collection/degitalgallary/ryukyu/item/20029")</f>
        <v/>
      </c>
    </row>
    <row r="423">
      <c r="A423" t="inlineStr">
        <is>
          <t>20030</t>
        </is>
      </c>
      <c r="B423" t="inlineStr">
        <is>
          <t>金武間切之内おんな村</t>
        </is>
      </c>
      <c r="C423" t="inlineStr">
        <is>
          <t>村</t>
        </is>
      </c>
      <c r="D423" t="inlineStr">
        <is>
          <t>26.4896498</t>
        </is>
      </c>
      <c r="E423" t="inlineStr">
        <is>
          <t>127.8565368</t>
        </is>
      </c>
      <c r="F423" t="inlineStr">
        <is>
          <t>正保琉球国悪鬼納島絵図写</t>
        </is>
      </c>
      <c r="G423" t="inlineStr">
        <is>
          <t>おんな村</t>
        </is>
      </c>
      <c r="H423" t="inlineStr"/>
      <c r="I423" t="inlineStr">
        <is>
          <t>〔25〕</t>
        </is>
      </c>
      <c r="J423" t="inlineStr"/>
      <c r="K423" t="inlineStr">
        <is>
          <t>沖縄県国頭郡恩納村恩納</t>
        </is>
      </c>
      <c r="L423" s="1">
        <f>HYPERLINK("https://www.hi.u-tokyo.ac.jp/collection/degitalgallary/ryukyu/item/20030", "https://www.hi.u-tokyo.ac.jp/collection/degitalgallary/ryukyu/item/20030")</f>
        <v/>
      </c>
    </row>
    <row r="424">
      <c r="A424" t="inlineStr">
        <is>
          <t>20031</t>
        </is>
      </c>
      <c r="B424" t="inlineStr">
        <is>
          <t>金武間切之内こちや村</t>
        </is>
      </c>
      <c r="C424" t="inlineStr">
        <is>
          <t>村</t>
        </is>
      </c>
      <c r="D424" t="inlineStr">
        <is>
          <t>26.510235</t>
        </is>
      </c>
      <c r="E424" t="inlineStr">
        <is>
          <t>127.9837545</t>
        </is>
      </c>
      <c r="F424" t="inlineStr">
        <is>
          <t>正保琉球国悪鬼納島絵図写</t>
        </is>
      </c>
      <c r="G424" t="inlineStr">
        <is>
          <t>こちや村</t>
        </is>
      </c>
      <c r="H424" t="inlineStr"/>
      <c r="I424" t="inlineStr">
        <is>
          <t>〔26〕</t>
        </is>
      </c>
      <c r="J424" t="inlineStr"/>
      <c r="K424" t="inlineStr">
        <is>
          <t>沖縄県国頭郡宜野座村松田</t>
        </is>
      </c>
      <c r="L424" s="1">
        <f>HYPERLINK("https://www.hi.u-tokyo.ac.jp/collection/degitalgallary/ryukyu/item/20031", "https://www.hi.u-tokyo.ac.jp/collection/degitalgallary/ryukyu/item/20031")</f>
        <v/>
      </c>
    </row>
    <row r="425">
      <c r="A425" t="inlineStr">
        <is>
          <t>20032</t>
        </is>
      </c>
      <c r="B425" t="inlineStr">
        <is>
          <t>名護間切之内幸喜村</t>
        </is>
      </c>
      <c r="C425" t="inlineStr">
        <is>
          <t>村</t>
        </is>
      </c>
      <c r="D425" t="inlineStr">
        <is>
          <t>26.5301944</t>
        </is>
      </c>
      <c r="E425" t="inlineStr">
        <is>
          <t>127.9599192</t>
        </is>
      </c>
      <c r="F425" t="inlineStr">
        <is>
          <t>正保琉球国悪鬼納島絵図写</t>
        </is>
      </c>
      <c r="G425" t="inlineStr">
        <is>
          <t>幸喜村</t>
        </is>
      </c>
      <c r="H425" t="inlineStr"/>
      <c r="I425" t="inlineStr">
        <is>
          <t>〔27〕</t>
        </is>
      </c>
      <c r="J425" t="inlineStr"/>
      <c r="K425" t="inlineStr">
        <is>
          <t>沖縄県名護市幸喜</t>
        </is>
      </c>
      <c r="L425" s="1">
        <f>HYPERLINK("https://www.hi.u-tokyo.ac.jp/collection/degitalgallary/ryukyu/item/20032", "https://www.hi.u-tokyo.ac.jp/collection/degitalgallary/ryukyu/item/20032")</f>
        <v/>
      </c>
    </row>
    <row r="426">
      <c r="A426" t="inlineStr">
        <is>
          <t>20033</t>
        </is>
      </c>
      <c r="B426" t="inlineStr">
        <is>
          <t>名護間切</t>
        </is>
      </c>
      <c r="C426" t="inlineStr">
        <is>
          <t>間切</t>
        </is>
      </c>
      <c r="D426" t="inlineStr">
        <is>
          <t>26.5915575</t>
        </is>
      </c>
      <c r="E426" t="inlineStr">
        <is>
          <t>127.9775272</t>
        </is>
      </c>
      <c r="F426" t="inlineStr">
        <is>
          <t>正保琉球国悪鬼納島絵図写</t>
        </is>
      </c>
      <c r="G426" t="inlineStr">
        <is>
          <t>千六百五十一石余</t>
        </is>
      </c>
      <c r="H426" t="inlineStr"/>
      <c r="I426" t="inlineStr">
        <is>
          <t>〔28〕</t>
        </is>
      </c>
      <c r="J426" t="inlineStr">
        <is>
          <t>30020480000116000</t>
        </is>
      </c>
      <c r="K426" t="inlineStr">
        <is>
          <t>沖縄県名護市港</t>
        </is>
      </c>
      <c r="L426" s="1">
        <f>HYPERLINK("https://www.hi.u-tokyo.ac.jp/collection/degitalgallary/ryukyu/item/20033", "https://www.hi.u-tokyo.ac.jp/collection/degitalgallary/ryukyu/item/20033")</f>
        <v/>
      </c>
    </row>
    <row r="427">
      <c r="A427" t="inlineStr">
        <is>
          <t>20034</t>
        </is>
      </c>
      <c r="B427" t="inlineStr">
        <is>
          <t>名護間切之内おほら村</t>
        </is>
      </c>
      <c r="C427" t="inlineStr">
        <is>
          <t>村</t>
        </is>
      </c>
      <c r="D427" t="inlineStr">
        <is>
          <t>26.568845</t>
        </is>
      </c>
      <c r="E427" t="inlineStr">
        <is>
          <t>128.0446292</t>
        </is>
      </c>
      <c r="F427" t="inlineStr">
        <is>
          <t>正保琉球国悪鬼納島絵図写</t>
        </is>
      </c>
      <c r="G427" t="inlineStr">
        <is>
          <t>おほら村</t>
        </is>
      </c>
      <c r="H427" t="inlineStr"/>
      <c r="I427" t="inlineStr">
        <is>
          <t>〔29〕</t>
        </is>
      </c>
      <c r="J427" t="inlineStr"/>
      <c r="K427" t="inlineStr">
        <is>
          <t>沖縄県名護市大浦</t>
        </is>
      </c>
      <c r="L427" s="1">
        <f>HYPERLINK("https://www.hi.u-tokyo.ac.jp/collection/degitalgallary/ryukyu/item/20034", "https://www.hi.u-tokyo.ac.jp/collection/degitalgallary/ryukyu/item/20034")</f>
        <v/>
      </c>
    </row>
    <row r="428">
      <c r="A428" t="inlineStr">
        <is>
          <t>20035</t>
        </is>
      </c>
      <c r="B428" t="inlineStr">
        <is>
          <t>名護間切之内てぎな村</t>
        </is>
      </c>
      <c r="C428" t="inlineStr">
        <is>
          <t>村</t>
        </is>
      </c>
      <c r="D428" t="inlineStr"/>
      <c r="E428" t="inlineStr"/>
      <c r="F428" t="inlineStr">
        <is>
          <t>正保琉球国悪鬼納島絵図写</t>
        </is>
      </c>
      <c r="G428" t="inlineStr">
        <is>
          <t>てぎな村</t>
        </is>
      </c>
      <c r="H428" t="inlineStr"/>
      <c r="I428" t="inlineStr">
        <is>
          <t>〔30〕</t>
        </is>
      </c>
      <c r="J428" t="inlineStr"/>
      <c r="K428" t="inlineStr"/>
      <c r="L428" s="1">
        <f>HYPERLINK("https://www.hi.u-tokyo.ac.jp/collection/degitalgallary/ryukyu/item/20035", "https://www.hi.u-tokyo.ac.jp/collection/degitalgallary/ryukyu/item/20035")</f>
        <v/>
      </c>
    </row>
    <row r="429">
      <c r="A429" t="inlineStr">
        <is>
          <t>20036</t>
        </is>
      </c>
      <c r="B429" t="inlineStr">
        <is>
          <t>名護間切之内川田村</t>
        </is>
      </c>
      <c r="C429" t="inlineStr">
        <is>
          <t>村</t>
        </is>
      </c>
      <c r="D429" t="inlineStr">
        <is>
          <t>26.6574063</t>
        </is>
      </c>
      <c r="E429" t="inlineStr">
        <is>
          <t>128.1846982</t>
        </is>
      </c>
      <c r="F429" t="inlineStr">
        <is>
          <t>正保琉球国悪鬼納島絵図写</t>
        </is>
      </c>
      <c r="G429" t="inlineStr">
        <is>
          <t>川田村</t>
        </is>
      </c>
      <c r="H429" t="inlineStr"/>
      <c r="I429" t="inlineStr">
        <is>
          <t>〔31〕</t>
        </is>
      </c>
      <c r="J429" t="inlineStr"/>
      <c r="K429" t="inlineStr">
        <is>
          <t>沖縄県国頭郡東村川田</t>
        </is>
      </c>
      <c r="L429" s="1">
        <f>HYPERLINK("https://www.hi.u-tokyo.ac.jp/collection/degitalgallary/ryukyu/item/20036", "https://www.hi.u-tokyo.ac.jp/collection/degitalgallary/ryukyu/item/20036")</f>
        <v/>
      </c>
    </row>
    <row r="430">
      <c r="A430" t="inlineStr">
        <is>
          <t>20037</t>
        </is>
      </c>
      <c r="B430" t="inlineStr">
        <is>
          <t>今帰仁間切之内あめそこ村</t>
        </is>
      </c>
      <c r="C430" t="inlineStr">
        <is>
          <t>村</t>
        </is>
      </c>
      <c r="D430" t="inlineStr"/>
      <c r="E430" t="inlineStr"/>
      <c r="F430" t="inlineStr">
        <is>
          <t>正保琉球国悪鬼納島絵図写</t>
        </is>
      </c>
      <c r="G430" t="inlineStr">
        <is>
          <t>あめそこ村</t>
        </is>
      </c>
      <c r="H430" t="inlineStr"/>
      <c r="I430" t="inlineStr">
        <is>
          <t>〔32〕</t>
        </is>
      </c>
      <c r="J430" t="inlineStr"/>
      <c r="K430" t="inlineStr"/>
      <c r="L430" s="1">
        <f>HYPERLINK("https://www.hi.u-tokyo.ac.jp/collection/degitalgallary/ryukyu/item/20037", "https://www.hi.u-tokyo.ac.jp/collection/degitalgallary/ryukyu/item/20037")</f>
        <v/>
      </c>
    </row>
    <row r="431">
      <c r="A431" t="inlineStr">
        <is>
          <t>20038</t>
        </is>
      </c>
      <c r="B431" t="inlineStr">
        <is>
          <t>今帰仁間切之内によは村</t>
        </is>
      </c>
      <c r="C431" t="inlineStr">
        <is>
          <t>村</t>
        </is>
      </c>
      <c r="D431" t="inlineStr"/>
      <c r="E431" t="inlineStr"/>
      <c r="F431" t="inlineStr">
        <is>
          <t>正保琉球国悪鬼納島絵図写</t>
        </is>
      </c>
      <c r="G431" t="inlineStr">
        <is>
          <t>によは村</t>
        </is>
      </c>
      <c r="H431" t="inlineStr"/>
      <c r="I431" t="inlineStr">
        <is>
          <t>〔33〕</t>
        </is>
      </c>
      <c r="J431" t="inlineStr"/>
      <c r="K431" t="inlineStr"/>
      <c r="L431" s="1">
        <f>HYPERLINK("https://www.hi.u-tokyo.ac.jp/collection/degitalgallary/ryukyu/item/20038", "https://www.hi.u-tokyo.ac.jp/collection/degitalgallary/ryukyu/item/20038")</f>
        <v/>
      </c>
    </row>
    <row r="432">
      <c r="A432" t="inlineStr">
        <is>
          <t>20039</t>
        </is>
      </c>
      <c r="B432" t="inlineStr">
        <is>
          <t>今帰仁間切之内</t>
        </is>
      </c>
      <c r="C432" t="inlineStr">
        <is>
          <t>島</t>
        </is>
      </c>
      <c r="D432" t="inlineStr">
        <is>
          <t>26.6451498</t>
        </is>
      </c>
      <c r="E432" t="inlineStr">
        <is>
          <t>127.8644948</t>
        </is>
      </c>
      <c r="F432" t="inlineStr">
        <is>
          <t>正保琉球国悪鬼納島絵図写</t>
        </is>
      </c>
      <c r="G432" t="inlineStr">
        <is>
          <t>瀬底嶋、人居有
嶋廻一里廿弐町</t>
        </is>
      </c>
      <c r="H432" t="inlineStr"/>
      <c r="I432" t="inlineStr">
        <is>
          <t>〔34〕</t>
        </is>
      </c>
      <c r="J432" t="inlineStr"/>
      <c r="K432" t="inlineStr">
        <is>
          <t>沖縄県国頭郡本部町瀬底</t>
        </is>
      </c>
      <c r="L432" s="1">
        <f>HYPERLINK("https://www.hi.u-tokyo.ac.jp/collection/degitalgallary/ryukyu/item/20039", "https://www.hi.u-tokyo.ac.jp/collection/degitalgallary/ryukyu/item/20039")</f>
        <v/>
      </c>
    </row>
    <row r="433">
      <c r="A433" t="inlineStr">
        <is>
          <t>20040</t>
        </is>
      </c>
      <c r="B433" t="inlineStr">
        <is>
          <t>今帰仁間切</t>
        </is>
      </c>
      <c r="C433" t="inlineStr">
        <is>
          <t>間切</t>
        </is>
      </c>
      <c r="D433" t="inlineStr"/>
      <c r="E433" t="inlineStr"/>
      <c r="F433" t="inlineStr">
        <is>
          <t>正保琉球国悪鬼納島絵図写</t>
        </is>
      </c>
      <c r="G433" t="inlineStr">
        <is>
          <t>五千卅五石余</t>
        </is>
      </c>
      <c r="H433" t="inlineStr"/>
      <c r="I433" t="inlineStr">
        <is>
          <t>〔35〕</t>
        </is>
      </c>
      <c r="J433" t="inlineStr">
        <is>
          <t>30020480000130200</t>
        </is>
      </c>
      <c r="K433" t="inlineStr"/>
      <c r="L433" s="1">
        <f>HYPERLINK("https://www.hi.u-tokyo.ac.jp/collection/degitalgallary/ryukyu/item/20040", "https://www.hi.u-tokyo.ac.jp/collection/degitalgallary/ryukyu/item/20040")</f>
        <v/>
      </c>
    </row>
    <row r="434">
      <c r="A434" t="inlineStr">
        <is>
          <t>20041</t>
        </is>
      </c>
      <c r="B434" t="inlineStr">
        <is>
          <t>今帰仁間切之内運天村</t>
        </is>
      </c>
      <c r="C434" t="inlineStr">
        <is>
          <t>村</t>
        </is>
      </c>
      <c r="D434" t="inlineStr"/>
      <c r="E434" t="inlineStr"/>
      <c r="F434" t="inlineStr">
        <is>
          <t>正保琉球国悪鬼納島絵図写</t>
        </is>
      </c>
      <c r="G434" t="inlineStr">
        <is>
          <t>運天村</t>
        </is>
      </c>
      <c r="H434" t="inlineStr"/>
      <c r="I434" t="inlineStr">
        <is>
          <t>〔36〕</t>
        </is>
      </c>
      <c r="J434" t="inlineStr"/>
      <c r="K434" t="inlineStr"/>
      <c r="L434" s="1">
        <f>HYPERLINK("https://www.hi.u-tokyo.ac.jp/collection/degitalgallary/ryukyu/item/20041", "https://www.hi.u-tokyo.ac.jp/collection/degitalgallary/ryukyu/item/20041")</f>
        <v/>
      </c>
    </row>
    <row r="435">
      <c r="A435" t="inlineStr">
        <is>
          <t>20042</t>
        </is>
      </c>
      <c r="B435" t="inlineStr">
        <is>
          <t>今帰仁間切之内</t>
        </is>
      </c>
      <c r="C435" t="inlineStr">
        <is>
          <t>島</t>
        </is>
      </c>
      <c r="D435" t="inlineStr">
        <is>
          <t>26.7072982</t>
        </is>
      </c>
      <c r="E435" t="inlineStr">
        <is>
          <t>128.0181686</t>
        </is>
      </c>
      <c r="F435" t="inlineStr">
        <is>
          <t>正保琉球国悪鬼納島絵図写</t>
        </is>
      </c>
      <c r="G435" t="inlineStr">
        <is>
          <t>沖ノ郡嶋
嶋廻一里十弐町</t>
        </is>
      </c>
      <c r="H435" t="inlineStr"/>
      <c r="I435" t="inlineStr">
        <is>
          <t>〔37〕</t>
        </is>
      </c>
      <c r="J435" t="inlineStr"/>
      <c r="K435" t="inlineStr">
        <is>
          <t>沖縄県国頭郡今帰仁村古宇利</t>
        </is>
      </c>
      <c r="L435" s="1">
        <f>HYPERLINK("https://www.hi.u-tokyo.ac.jp/collection/degitalgallary/ryukyu/item/20042", "https://www.hi.u-tokyo.ac.jp/collection/degitalgallary/ryukyu/item/20042")</f>
        <v/>
      </c>
    </row>
    <row r="436">
      <c r="A436" t="inlineStr">
        <is>
          <t>20043</t>
        </is>
      </c>
      <c r="B436" t="inlineStr">
        <is>
          <t>今帰仁間切之内</t>
        </is>
      </c>
      <c r="C436" t="inlineStr">
        <is>
          <t>その他</t>
        </is>
      </c>
      <c r="D436" t="inlineStr"/>
      <c r="E436" t="inlineStr"/>
      <c r="F436" t="inlineStr">
        <is>
          <t>正保琉球国悪鬼納島絵図写</t>
        </is>
      </c>
      <c r="G436" t="inlineStr">
        <is>
          <t>無人居</t>
        </is>
      </c>
      <c r="H436" t="inlineStr"/>
      <c r="I436" t="inlineStr">
        <is>
          <t>〔38〕</t>
        </is>
      </c>
      <c r="J436" t="inlineStr"/>
      <c r="K436" t="inlineStr"/>
      <c r="L436" s="1">
        <f>HYPERLINK("https://www.hi.u-tokyo.ac.jp/collection/degitalgallary/ryukyu/item/20043", "https://www.hi.u-tokyo.ac.jp/collection/degitalgallary/ryukyu/item/20043")</f>
        <v/>
      </c>
    </row>
    <row r="437">
      <c r="A437" t="inlineStr">
        <is>
          <t>20044</t>
        </is>
      </c>
      <c r="B437" t="inlineStr">
        <is>
          <t>羽地間切之内やが村、人居有</t>
        </is>
      </c>
      <c r="C437" t="inlineStr">
        <is>
          <t>村</t>
        </is>
      </c>
      <c r="D437" t="inlineStr">
        <is>
          <t>26.6705839</t>
        </is>
      </c>
      <c r="E437" t="inlineStr">
        <is>
          <t>128.015522</t>
        </is>
      </c>
      <c r="F437" t="inlineStr">
        <is>
          <t>正保琉球国悪鬼納島絵図写</t>
        </is>
      </c>
      <c r="G437" t="inlineStr">
        <is>
          <t>やが村、人居有</t>
        </is>
      </c>
      <c r="H437" t="inlineStr"/>
      <c r="I437" t="inlineStr">
        <is>
          <t>〔39〕</t>
        </is>
      </c>
      <c r="J437" t="inlineStr"/>
      <c r="K437" t="inlineStr">
        <is>
          <t>沖縄県名護市済井出</t>
        </is>
      </c>
      <c r="L437" s="1">
        <f>HYPERLINK("https://www.hi.u-tokyo.ac.jp/collection/degitalgallary/ryukyu/item/20044", "https://www.hi.u-tokyo.ac.jp/collection/degitalgallary/ryukyu/item/20044")</f>
        <v/>
      </c>
    </row>
    <row r="438">
      <c r="A438" t="inlineStr">
        <is>
          <t>20045</t>
        </is>
      </c>
      <c r="B438" t="inlineStr">
        <is>
          <t>羽地間切</t>
        </is>
      </c>
      <c r="C438" t="inlineStr">
        <is>
          <t>間切</t>
        </is>
      </c>
      <c r="D438" t="inlineStr">
        <is>
          <t>26.5915575</t>
        </is>
      </c>
      <c r="E438" t="inlineStr">
        <is>
          <t>127.9775272</t>
        </is>
      </c>
      <c r="F438" t="inlineStr">
        <is>
          <t>正保琉球国悪鬼納島絵図写</t>
        </is>
      </c>
      <c r="G438" t="inlineStr">
        <is>
          <t>千九百八十五石余</t>
        </is>
      </c>
      <c r="H438" t="inlineStr"/>
      <c r="I438" t="inlineStr">
        <is>
          <t>〔40〕</t>
        </is>
      </c>
      <c r="J438" t="inlineStr">
        <is>
          <t>30020480000116700</t>
        </is>
      </c>
      <c r="K438" t="inlineStr">
        <is>
          <t>沖縄県名護市港</t>
        </is>
      </c>
      <c r="L438" s="1">
        <f>HYPERLINK("https://www.hi.u-tokyo.ac.jp/collection/degitalgallary/ryukyu/item/20045", "https://www.hi.u-tokyo.ac.jp/collection/degitalgallary/ryukyu/item/20045")</f>
        <v/>
      </c>
    </row>
    <row r="439">
      <c r="A439" t="inlineStr">
        <is>
          <t>20046</t>
        </is>
      </c>
      <c r="B439" t="inlineStr">
        <is>
          <t>国頭間切之内とのきや村</t>
        </is>
      </c>
      <c r="C439" t="inlineStr">
        <is>
          <t>村</t>
        </is>
      </c>
      <c r="D439" t="inlineStr">
        <is>
          <t>26.6557041</t>
        </is>
      </c>
      <c r="E439" t="inlineStr">
        <is>
          <t>128.118664</t>
        </is>
      </c>
      <c r="F439" t="inlineStr">
        <is>
          <t>正保琉球国悪鬼納島絵図写</t>
        </is>
      </c>
      <c r="G439" t="inlineStr">
        <is>
          <t>とのきや村</t>
        </is>
      </c>
      <c r="H439" t="inlineStr"/>
      <c r="I439" t="inlineStr">
        <is>
          <t>〔41〕</t>
        </is>
      </c>
      <c r="J439" t="inlineStr"/>
      <c r="K439" t="inlineStr">
        <is>
          <t>沖縄県国頭郡大宜味村白浜</t>
        </is>
      </c>
      <c r="L439" s="1">
        <f>HYPERLINK("https://www.hi.u-tokyo.ac.jp/collection/degitalgallary/ryukyu/item/20046", "https://www.hi.u-tokyo.ac.jp/collection/degitalgallary/ryukyu/item/20046")</f>
        <v/>
      </c>
    </row>
    <row r="440">
      <c r="A440" t="inlineStr">
        <is>
          <t>20047</t>
        </is>
      </c>
      <c r="B440" t="inlineStr">
        <is>
          <t>国頭間切</t>
        </is>
      </c>
      <c r="C440" t="inlineStr">
        <is>
          <t>間切</t>
        </is>
      </c>
      <c r="D440" t="inlineStr">
        <is>
          <t>26.7456488</t>
        </is>
      </c>
      <c r="E440" t="inlineStr">
        <is>
          <t>128.1779451</t>
        </is>
      </c>
      <c r="F440" t="inlineStr">
        <is>
          <t>正保琉球国悪鬼納島絵図写</t>
        </is>
      </c>
      <c r="G440" t="inlineStr">
        <is>
          <t>千廿九石余</t>
        </is>
      </c>
      <c r="H440" t="inlineStr"/>
      <c r="I440" t="inlineStr">
        <is>
          <t>〔42〕</t>
        </is>
      </c>
      <c r="J440" t="inlineStr">
        <is>
          <t>30020480000127000</t>
        </is>
      </c>
      <c r="K440" t="inlineStr">
        <is>
          <t>沖縄県国頭郡国頭村辺土名</t>
        </is>
      </c>
      <c r="L440" s="1">
        <f>HYPERLINK("https://www.hi.u-tokyo.ac.jp/collection/degitalgallary/ryukyu/item/20047", "https://www.hi.u-tokyo.ac.jp/collection/degitalgallary/ryukyu/item/20047")</f>
        <v/>
      </c>
    </row>
    <row r="441">
      <c r="A441" t="inlineStr">
        <is>
          <t>20048</t>
        </is>
      </c>
      <c r="B441" t="inlineStr">
        <is>
          <t>国頭間切之内あは村</t>
        </is>
      </c>
      <c r="C441" t="inlineStr">
        <is>
          <t>村</t>
        </is>
      </c>
      <c r="D441" t="inlineStr">
        <is>
          <t>26.7173286</t>
        </is>
      </c>
      <c r="E441" t="inlineStr">
        <is>
          <t>128.2638539</t>
        </is>
      </c>
      <c r="F441" t="inlineStr">
        <is>
          <t>正保琉球国悪鬼納島絵図写</t>
        </is>
      </c>
      <c r="G441" t="inlineStr">
        <is>
          <t>あは村</t>
        </is>
      </c>
      <c r="H441" t="inlineStr"/>
      <c r="I441" t="inlineStr">
        <is>
          <t>〔43〕</t>
        </is>
      </c>
      <c r="J441" t="inlineStr"/>
      <c r="K441" t="inlineStr">
        <is>
          <t>沖縄県国頭郡国頭村安波</t>
        </is>
      </c>
      <c r="L441" s="1">
        <f>HYPERLINK("https://www.hi.u-tokyo.ac.jp/collection/degitalgallary/ryukyu/item/20048", "https://www.hi.u-tokyo.ac.jp/collection/degitalgallary/ryukyu/item/20048")</f>
        <v/>
      </c>
    </row>
    <row r="442">
      <c r="A442" t="inlineStr">
        <is>
          <t>20049</t>
        </is>
      </c>
      <c r="B442" t="inlineStr">
        <is>
          <t>国頭間切之内さて村</t>
        </is>
      </c>
      <c r="C442" t="inlineStr">
        <is>
          <t>村</t>
        </is>
      </c>
      <c r="D442" t="inlineStr">
        <is>
          <t>26.7772887</t>
        </is>
      </c>
      <c r="E442" t="inlineStr">
        <is>
          <t>128.240117</t>
        </is>
      </c>
      <c r="F442" t="inlineStr">
        <is>
          <t>正保琉球国悪鬼納島絵図写</t>
        </is>
      </c>
      <c r="G442" t="inlineStr">
        <is>
          <t>さて村</t>
        </is>
      </c>
      <c r="H442" t="inlineStr"/>
      <c r="I442" t="inlineStr">
        <is>
          <t>〔44〕</t>
        </is>
      </c>
      <c r="J442" t="inlineStr"/>
      <c r="K442" t="inlineStr">
        <is>
          <t>沖縄県国頭郡国頭村佐手</t>
        </is>
      </c>
      <c r="L442" s="1">
        <f>HYPERLINK("https://www.hi.u-tokyo.ac.jp/collection/degitalgallary/ryukyu/item/20049", "https://www.hi.u-tokyo.ac.jp/collection/degitalgallary/ryukyu/item/20049")</f>
        <v/>
      </c>
    </row>
    <row r="443">
      <c r="A443" t="inlineStr">
        <is>
          <t>20050</t>
        </is>
      </c>
      <c r="B443" t="inlineStr">
        <is>
          <t>国頭間切之内あだ村</t>
        </is>
      </c>
      <c r="C443" t="inlineStr">
        <is>
          <t>村</t>
        </is>
      </c>
      <c r="D443" t="inlineStr">
        <is>
          <t>26.7505893</t>
        </is>
      </c>
      <c r="E443" t="inlineStr">
        <is>
          <t>128.2849463</t>
        </is>
      </c>
      <c r="F443" t="inlineStr">
        <is>
          <t>正保琉球国悪鬼納島絵図写</t>
        </is>
      </c>
      <c r="G443" t="inlineStr">
        <is>
          <t>あだ村</t>
        </is>
      </c>
      <c r="H443" t="inlineStr"/>
      <c r="I443" t="inlineStr">
        <is>
          <t>〔45〕</t>
        </is>
      </c>
      <c r="J443" t="inlineStr"/>
      <c r="K443" t="inlineStr">
        <is>
          <t>沖縄県国頭郡国頭村安田</t>
        </is>
      </c>
      <c r="L443" s="1">
        <f>HYPERLINK("https://www.hi.u-tokyo.ac.jp/collection/degitalgallary/ryukyu/item/20050", "https://www.hi.u-tokyo.ac.jp/collection/degitalgallary/ryukyu/item/20050")</f>
        <v/>
      </c>
    </row>
    <row r="444">
      <c r="A444" t="inlineStr">
        <is>
          <t>20051</t>
        </is>
      </c>
      <c r="B444" t="inlineStr">
        <is>
          <t>国頭間切之内おく村</t>
        </is>
      </c>
      <c r="C444" t="inlineStr">
        <is>
          <t>村</t>
        </is>
      </c>
      <c r="D444" t="inlineStr">
        <is>
          <t>26.8271449</t>
        </is>
      </c>
      <c r="E444" t="inlineStr">
        <is>
          <t>128.2796738</t>
        </is>
      </c>
      <c r="F444" t="inlineStr">
        <is>
          <t>正保琉球国悪鬼納島絵図写</t>
        </is>
      </c>
      <c r="G444" t="inlineStr">
        <is>
          <t>おく村</t>
        </is>
      </c>
      <c r="H444" t="inlineStr"/>
      <c r="I444" t="inlineStr">
        <is>
          <t>〔46〕</t>
        </is>
      </c>
      <c r="J444" t="inlineStr"/>
      <c r="K444" t="inlineStr">
        <is>
          <t>沖縄県国頭郡国頭村奥</t>
        </is>
      </c>
      <c r="L444" s="1">
        <f>HYPERLINK("https://www.hi.u-tokyo.ac.jp/collection/degitalgallary/ryukyu/item/20051", "https://www.hi.u-tokyo.ac.jp/collection/degitalgallary/ryukyu/item/20051")</f>
        <v/>
      </c>
    </row>
    <row r="445">
      <c r="A445" t="inlineStr">
        <is>
          <t>20052</t>
        </is>
      </c>
      <c r="B445" t="inlineStr">
        <is>
          <t>国頭間切之内へと村</t>
        </is>
      </c>
      <c r="C445" t="inlineStr">
        <is>
          <t>村</t>
        </is>
      </c>
      <c r="D445" t="inlineStr">
        <is>
          <t>26.8587894</t>
        </is>
      </c>
      <c r="E445" t="inlineStr">
        <is>
          <t>128.2664908</t>
        </is>
      </c>
      <c r="F445" t="inlineStr">
        <is>
          <t>正保琉球国悪鬼納島絵図写</t>
        </is>
      </c>
      <c r="G445" t="inlineStr">
        <is>
          <t>へと村</t>
        </is>
      </c>
      <c r="H445" t="inlineStr"/>
      <c r="I445" t="inlineStr">
        <is>
          <t>〔47〕</t>
        </is>
      </c>
      <c r="J445" t="inlineStr"/>
      <c r="K445" t="inlineStr">
        <is>
          <t>沖縄県国頭郡国頭村辺戸</t>
        </is>
      </c>
      <c r="L445" s="1">
        <f>HYPERLINK("https://www.hi.u-tokyo.ac.jp/collection/degitalgallary/ryukyu/item/20052", "https://www.hi.u-tokyo.ac.jp/collection/degitalgallary/ryukyu/item/20052")</f>
        <v/>
      </c>
    </row>
    <row r="446">
      <c r="A446" t="inlineStr">
        <is>
          <t>20053</t>
        </is>
      </c>
      <c r="B446" t="inlineStr">
        <is>
          <t>恵平屋嶋
五百四拾壱石余
嶋廻四里廿六町</t>
        </is>
      </c>
      <c r="C446" t="inlineStr">
        <is>
          <t>島</t>
        </is>
      </c>
      <c r="D446" t="inlineStr">
        <is>
          <t>27.050872</t>
        </is>
      </c>
      <c r="E446" t="inlineStr">
        <is>
          <t>127.9837545</t>
        </is>
      </c>
      <c r="F446" t="inlineStr">
        <is>
          <t>正保琉球国悪鬼納島絵図写</t>
        </is>
      </c>
      <c r="G446" t="inlineStr"/>
      <c r="H446" t="inlineStr"/>
      <c r="I446" t="inlineStr">
        <is>
          <t>〔48〕</t>
        </is>
      </c>
      <c r="J446" t="inlineStr"/>
      <c r="K446" t="inlineStr">
        <is>
          <t>沖縄県島尻郡伊平屋村前泊</t>
        </is>
      </c>
      <c r="L446" s="1">
        <f>HYPERLINK("https://www.hi.u-tokyo.ac.jp/collection/degitalgallary/ryukyu/item/20053", "https://www.hi.u-tokyo.ac.jp/collection/degitalgallary/ryukyu/item/20053")</f>
        <v/>
      </c>
    </row>
    <row r="447">
      <c r="A447" t="inlineStr">
        <is>
          <t>20054</t>
        </is>
      </c>
      <c r="B447" t="inlineStr">
        <is>
          <t>伊是那嶋
七百五拾石余
嶋廻弐里拾八町</t>
        </is>
      </c>
      <c r="C447" t="inlineStr">
        <is>
          <t>島</t>
        </is>
      </c>
      <c r="D447" t="inlineStr">
        <is>
          <t>26.9341601</t>
        </is>
      </c>
      <c r="E447" t="inlineStr">
        <is>
          <t>127.9413748</t>
        </is>
      </c>
      <c r="F447" t="inlineStr">
        <is>
          <t>正保琉球国悪鬼納島絵図写</t>
        </is>
      </c>
      <c r="G447" t="inlineStr"/>
      <c r="H447" t="inlineStr"/>
      <c r="I447" t="inlineStr">
        <is>
          <t>〔49〕</t>
        </is>
      </c>
      <c r="J447" t="inlineStr"/>
      <c r="K447" t="inlineStr">
        <is>
          <t>沖縄県島尻郡伊是名村諸見</t>
        </is>
      </c>
      <c r="L447" s="1">
        <f>HYPERLINK("https://www.hi.u-tokyo.ac.jp/collection/degitalgallary/ryukyu/item/20054", "https://www.hi.u-tokyo.ac.jp/collection/degitalgallary/ryukyu/item/20054")</f>
        <v/>
      </c>
    </row>
    <row r="448">
      <c r="A448" t="inlineStr">
        <is>
          <t>20055</t>
        </is>
      </c>
      <c r="B448" t="inlineStr">
        <is>
          <t>伊恵島
嶋廻四里七町
三千六百四拾三石余</t>
        </is>
      </c>
      <c r="C448" t="inlineStr">
        <is>
          <t>島</t>
        </is>
      </c>
      <c r="D448" t="inlineStr">
        <is>
          <t>26.7135406</t>
        </is>
      </c>
      <c r="E448" t="inlineStr">
        <is>
          <t>127.807032</t>
        </is>
      </c>
      <c r="F448" t="inlineStr">
        <is>
          <t>正保琉球国悪鬼納島絵図写</t>
        </is>
      </c>
      <c r="G448" t="inlineStr"/>
      <c r="H448" t="inlineStr"/>
      <c r="I448" t="inlineStr">
        <is>
          <t>〔50〕</t>
        </is>
      </c>
      <c r="J448" t="inlineStr"/>
      <c r="K448" t="inlineStr">
        <is>
          <t>沖縄県国頭郡伊江村東江前</t>
        </is>
      </c>
      <c r="L448" s="1">
        <f>HYPERLINK("https://www.hi.u-tokyo.ac.jp/collection/degitalgallary/ryukyu/item/20055", "https://www.hi.u-tokyo.ac.jp/collection/degitalgallary/ryukyu/item/20055")</f>
        <v/>
      </c>
    </row>
    <row r="449">
      <c r="A449" t="inlineStr">
        <is>
          <t>20056</t>
        </is>
      </c>
      <c r="B449" t="inlineStr">
        <is>
          <t>計羅摩嶋
嶋廻三里
弐百三石</t>
        </is>
      </c>
      <c r="C449" t="inlineStr">
        <is>
          <t>島</t>
        </is>
      </c>
      <c r="D449" t="inlineStr">
        <is>
          <t>26.1926087</t>
        </is>
      </c>
      <c r="E449" t="inlineStr">
        <is>
          <t>127.3569171</t>
        </is>
      </c>
      <c r="F449" t="inlineStr">
        <is>
          <t>正保琉球国悪鬼納島絵図写</t>
        </is>
      </c>
      <c r="G449" t="inlineStr"/>
      <c r="H449" t="inlineStr"/>
      <c r="I449" t="inlineStr">
        <is>
          <t>〔51〕</t>
        </is>
      </c>
      <c r="J449" t="inlineStr"/>
      <c r="K449" t="inlineStr">
        <is>
          <t>沖縄県島尻郡渡嘉敷村渡嘉敷</t>
        </is>
      </c>
      <c r="L449" s="1">
        <f>HYPERLINK("https://www.hi.u-tokyo.ac.jp/collection/degitalgallary/ryukyu/item/20056", "https://www.hi.u-tokyo.ac.jp/collection/degitalgallary/ryukyu/item/20056")</f>
        <v/>
      </c>
    </row>
    <row r="450">
      <c r="A450" t="inlineStr">
        <is>
          <t>20057</t>
        </is>
      </c>
      <c r="B450" t="inlineStr">
        <is>
          <t>座間味嶋</t>
        </is>
      </c>
      <c r="C450" t="inlineStr">
        <is>
          <t>島</t>
        </is>
      </c>
      <c r="D450" t="inlineStr">
        <is>
          <t>26.233338</t>
        </is>
      </c>
      <c r="E450" t="inlineStr">
        <is>
          <t>127.3052262</t>
        </is>
      </c>
      <c r="F450" t="inlineStr">
        <is>
          <t>正保琉球国悪鬼納島絵図写</t>
        </is>
      </c>
      <c r="G450" t="inlineStr">
        <is>
          <t>嶋廻一り廿弐町
けらま嶋之内
人居有</t>
        </is>
      </c>
      <c r="H450" t="inlineStr"/>
      <c r="I450" t="inlineStr">
        <is>
          <t>〔52〕</t>
        </is>
      </c>
      <c r="J450" t="inlineStr"/>
      <c r="K450" t="inlineStr">
        <is>
          <t>沖縄県島尻郡座間味村阿佐</t>
        </is>
      </c>
      <c r="L450" s="1">
        <f>HYPERLINK("https://www.hi.u-tokyo.ac.jp/collection/degitalgallary/ryukyu/item/20057", "https://www.hi.u-tokyo.ac.jp/collection/degitalgallary/ryukyu/item/20057")</f>
        <v/>
      </c>
    </row>
    <row r="451">
      <c r="A451" t="inlineStr">
        <is>
          <t>20058</t>
        </is>
      </c>
      <c r="B451" t="inlineStr">
        <is>
          <t>赤嶋</t>
        </is>
      </c>
      <c r="C451" t="inlineStr">
        <is>
          <t>島</t>
        </is>
      </c>
      <c r="D451" t="inlineStr">
        <is>
          <t>26.2010396</t>
        </is>
      </c>
      <c r="E451" t="inlineStr">
        <is>
          <t>127.2784835</t>
        </is>
      </c>
      <c r="F451" t="inlineStr">
        <is>
          <t>正保琉球国悪鬼納島絵図写</t>
        </is>
      </c>
      <c r="G451" t="inlineStr">
        <is>
          <t>嶋廻一里十八町
けらま嶋之内
人居有</t>
        </is>
      </c>
      <c r="H451" t="inlineStr"/>
      <c r="I451" t="inlineStr">
        <is>
          <t>〔53〕</t>
        </is>
      </c>
      <c r="J451" t="inlineStr"/>
      <c r="K451" t="inlineStr">
        <is>
          <t>沖縄県島尻郡座間味村阿嘉</t>
        </is>
      </c>
      <c r="L451" s="1">
        <f>HYPERLINK("https://www.hi.u-tokyo.ac.jp/collection/degitalgallary/ryukyu/item/20058", "https://www.hi.u-tokyo.ac.jp/collection/degitalgallary/ryukyu/item/20058")</f>
        <v/>
      </c>
    </row>
    <row r="452">
      <c r="A452" t="inlineStr">
        <is>
          <t>20059</t>
        </is>
      </c>
      <c r="B452" t="inlineStr">
        <is>
          <t>戸無嶋
四拾五石一斗
嶋廻壱里六町</t>
        </is>
      </c>
      <c r="C452" t="inlineStr">
        <is>
          <t>島</t>
        </is>
      </c>
      <c r="D452" t="inlineStr">
        <is>
          <t>26.362571</t>
        </is>
      </c>
      <c r="E452" t="inlineStr">
        <is>
          <t>127.1446201</t>
        </is>
      </c>
      <c r="F452" t="inlineStr">
        <is>
          <t>正保琉球国悪鬼納島絵図写</t>
        </is>
      </c>
      <c r="G452" t="inlineStr"/>
      <c r="H452" t="inlineStr"/>
      <c r="I452" t="inlineStr">
        <is>
          <t>〔54〕</t>
        </is>
      </c>
      <c r="J452" t="inlineStr"/>
      <c r="K452" t="inlineStr">
        <is>
          <t>沖縄県島尻郡渡名喜村</t>
        </is>
      </c>
      <c r="L452" s="1">
        <f>HYPERLINK("https://www.hi.u-tokyo.ac.jp/collection/degitalgallary/ryukyu/item/20059", "https://www.hi.u-tokyo.ac.jp/collection/degitalgallary/ryukyu/item/20059")</f>
        <v/>
      </c>
    </row>
    <row r="453">
      <c r="A453" t="inlineStr">
        <is>
          <t>20060</t>
        </is>
      </c>
      <c r="B453" t="inlineStr">
        <is>
          <t>粟嶋
七百廿七石四斗
嶋廻弐里拾弐町</t>
        </is>
      </c>
      <c r="C453" t="inlineStr">
        <is>
          <t>島</t>
        </is>
      </c>
      <c r="D453" t="inlineStr">
        <is>
          <t>26.5890557</t>
        </is>
      </c>
      <c r="E453" t="inlineStr">
        <is>
          <t>127.2383506</t>
        </is>
      </c>
      <c r="F453" t="inlineStr">
        <is>
          <t>正保琉球国悪鬼納島絵図写</t>
        </is>
      </c>
      <c r="G453" t="inlineStr"/>
      <c r="H453" t="inlineStr"/>
      <c r="I453" t="inlineStr">
        <is>
          <t>〔55〕</t>
        </is>
      </c>
      <c r="J453" t="inlineStr"/>
      <c r="K453" t="inlineStr">
        <is>
          <t>沖縄県島尻郡粟国村東</t>
        </is>
      </c>
      <c r="L453" s="1">
        <f>HYPERLINK("https://www.hi.u-tokyo.ac.jp/collection/degitalgallary/ryukyu/item/20060", "https://www.hi.u-tokyo.ac.jp/collection/degitalgallary/ryukyu/item/20060")</f>
        <v/>
      </c>
    </row>
    <row r="454">
      <c r="A454" t="inlineStr">
        <is>
          <t>20061</t>
        </is>
      </c>
      <c r="B454" t="inlineStr">
        <is>
          <t>具志川間切</t>
        </is>
      </c>
      <c r="C454" t="inlineStr">
        <is>
          <t>間切</t>
        </is>
      </c>
      <c r="D454" t="inlineStr">
        <is>
          <t>26.3786847</t>
        </is>
      </c>
      <c r="E454" t="inlineStr">
        <is>
          <t>127.8574931</t>
        </is>
      </c>
      <c r="F454" t="inlineStr">
        <is>
          <t>正保琉球国悪鬼納島絵図写</t>
        </is>
      </c>
      <c r="G454" t="inlineStr">
        <is>
          <t>千七百四拾六石余</t>
        </is>
      </c>
      <c r="H454" t="inlineStr"/>
      <c r="I454" t="inlineStr">
        <is>
          <t>〔56〕</t>
        </is>
      </c>
      <c r="J454" t="inlineStr">
        <is>
          <t>30020480000099400</t>
        </is>
      </c>
      <c r="K454" t="inlineStr">
        <is>
          <t>沖縄県うるま市みどり町</t>
        </is>
      </c>
      <c r="L454" s="1">
        <f>HYPERLINK("https://www.hi.u-tokyo.ac.jp/collection/degitalgallary/ryukyu/item/20061", "https://www.hi.u-tokyo.ac.jp/collection/degitalgallary/ryukyu/item/20061")</f>
        <v/>
      </c>
    </row>
    <row r="455">
      <c r="A455" t="inlineStr">
        <is>
          <t>20062</t>
        </is>
      </c>
      <c r="B455" t="inlineStr">
        <is>
          <t>中城間切</t>
        </is>
      </c>
      <c r="C455" t="inlineStr">
        <is>
          <t>間切</t>
        </is>
      </c>
      <c r="D455" t="inlineStr"/>
      <c r="E455" t="inlineStr"/>
      <c r="F455" t="inlineStr">
        <is>
          <t>正保琉球国悪鬼納島絵図写</t>
        </is>
      </c>
      <c r="G455" t="inlineStr">
        <is>
          <t>千九百卅一石余</t>
        </is>
      </c>
      <c r="H455" t="inlineStr"/>
      <c r="I455" t="inlineStr">
        <is>
          <t>〔57〕</t>
        </is>
      </c>
      <c r="J455" t="inlineStr">
        <is>
          <t>30020480000081900</t>
        </is>
      </c>
      <c r="K455" t="inlineStr"/>
      <c r="L455" s="1">
        <f>HYPERLINK("https://www.hi.u-tokyo.ac.jp/collection/degitalgallary/ryukyu/item/20062", "https://www.hi.u-tokyo.ac.jp/collection/degitalgallary/ryukyu/item/20062")</f>
        <v/>
      </c>
    </row>
    <row r="456">
      <c r="A456" t="inlineStr">
        <is>
          <t>20063</t>
        </is>
      </c>
      <c r="B456" t="inlineStr">
        <is>
          <t>中城間切之内嶋尻村</t>
        </is>
      </c>
      <c r="C456" t="inlineStr">
        <is>
          <t>村</t>
        </is>
      </c>
      <c r="D456" t="inlineStr">
        <is>
          <t>24.8691441</t>
        </is>
      </c>
      <c r="E456" t="inlineStr">
        <is>
          <t>125.2958607</t>
        </is>
      </c>
      <c r="F456" t="inlineStr">
        <is>
          <t>正保琉球国悪鬼納島絵図写</t>
        </is>
      </c>
      <c r="G456" t="inlineStr">
        <is>
          <t>中城間切之内</t>
        </is>
      </c>
      <c r="H456" t="inlineStr"/>
      <c r="I456" t="inlineStr">
        <is>
          <t>〔58〕</t>
        </is>
      </c>
      <c r="J456" t="inlineStr"/>
      <c r="K456" t="inlineStr">
        <is>
          <t>沖縄県宮古島市平良島尻</t>
        </is>
      </c>
      <c r="L456" s="1">
        <f>HYPERLINK("https://www.hi.u-tokyo.ac.jp/collection/degitalgallary/ryukyu/item/20063", "https://www.hi.u-tokyo.ac.jp/collection/degitalgallary/ryukyu/item/20063")</f>
        <v/>
      </c>
    </row>
    <row r="457">
      <c r="A457" t="inlineStr">
        <is>
          <t>20064</t>
        </is>
      </c>
      <c r="B457" t="inlineStr">
        <is>
          <t>鳥嶋</t>
        </is>
      </c>
      <c r="C457" t="inlineStr">
        <is>
          <t>島</t>
        </is>
      </c>
      <c r="D457" t="inlineStr">
        <is>
          <t>27.8722757</t>
        </is>
      </c>
      <c r="E457" t="inlineStr">
        <is>
          <t>128.2295645</t>
        </is>
      </c>
      <c r="F457" t="inlineStr">
        <is>
          <t>正保琉球国悪鬼納島絵図写</t>
        </is>
      </c>
      <c r="G457" t="inlineStr">
        <is>
          <t>人居有
嶋廻廿四町</t>
        </is>
      </c>
      <c r="H457" t="inlineStr"/>
      <c r="I457" t="inlineStr">
        <is>
          <t>1</t>
        </is>
      </c>
      <c r="J457" t="inlineStr"/>
      <c r="K457" t="inlineStr">
        <is>
          <t>沖縄県島尻郡久米島町鳥島</t>
        </is>
      </c>
      <c r="L457" s="1">
        <f>HYPERLINK("https://www.hi.u-tokyo.ac.jp/collection/degitalgallary/ryukyu/item/20064", "https://www.hi.u-tokyo.ac.jp/collection/degitalgallary/ryukyu/item/20064")</f>
        <v/>
      </c>
    </row>
    <row r="458">
      <c r="A458" t="inlineStr">
        <is>
          <t>20065</t>
        </is>
      </c>
      <c r="B458" t="inlineStr">
        <is>
          <t>船かゝり不成</t>
        </is>
      </c>
      <c r="C458" t="inlineStr">
        <is>
          <t>港湾</t>
        </is>
      </c>
      <c r="D458" t="inlineStr"/>
      <c r="E458" t="inlineStr"/>
      <c r="F458" t="inlineStr">
        <is>
          <t>正保琉球国悪鬼納島絵図写</t>
        </is>
      </c>
      <c r="G458" t="inlineStr"/>
      <c r="H458" t="inlineStr"/>
      <c r="I458" t="inlineStr">
        <is>
          <t>2</t>
        </is>
      </c>
      <c r="J458" t="inlineStr"/>
      <c r="K458" t="inlineStr"/>
      <c r="L458" s="1">
        <f>HYPERLINK("https://www.hi.u-tokyo.ac.jp/collection/degitalgallary/ryukyu/item/20065", "https://www.hi.u-tokyo.ac.jp/collection/degitalgallary/ryukyu/item/20065")</f>
        <v/>
      </c>
    </row>
    <row r="459">
      <c r="A459" t="inlineStr">
        <is>
          <t>20066</t>
        </is>
      </c>
      <c r="B459" t="inlineStr">
        <is>
          <t>恵平屋嶋ヨリ鳥嶋迄海上五拾四里子丑之間ニ当ル</t>
        </is>
      </c>
      <c r="C459" t="inlineStr">
        <is>
          <t>航路</t>
        </is>
      </c>
      <c r="D459" t="inlineStr"/>
      <c r="E459" t="inlineStr"/>
      <c r="F459" t="inlineStr">
        <is>
          <t>正保琉球国悪鬼納島絵図写</t>
        </is>
      </c>
      <c r="G459" t="inlineStr"/>
      <c r="H459" t="inlineStr"/>
      <c r="I459" t="inlineStr">
        <is>
          <t>3</t>
        </is>
      </c>
      <c r="J459" t="inlineStr"/>
      <c r="K459" t="inlineStr"/>
      <c r="L459" s="1">
        <f>HYPERLINK("https://www.hi.u-tokyo.ac.jp/collection/degitalgallary/ryukyu/item/20066", "https://www.hi.u-tokyo.ac.jp/collection/degitalgallary/ryukyu/item/20066")</f>
        <v/>
      </c>
    </row>
    <row r="460">
      <c r="A460" t="inlineStr">
        <is>
          <t>20067</t>
        </is>
      </c>
      <c r="B460" t="inlineStr">
        <is>
          <t>かな崎</t>
        </is>
      </c>
      <c r="C460" t="inlineStr">
        <is>
          <t>崎</t>
        </is>
      </c>
      <c r="D460" t="inlineStr">
        <is>
          <t>27.092854</t>
        </is>
      </c>
      <c r="E460" t="inlineStr">
        <is>
          <t>128.021895</t>
        </is>
      </c>
      <c r="F460" t="inlineStr">
        <is>
          <t>正保琉球国悪鬼納島絵図写</t>
        </is>
      </c>
      <c r="G460" t="inlineStr"/>
      <c r="H460" t="inlineStr"/>
      <c r="I460" t="inlineStr">
        <is>
          <t>4</t>
        </is>
      </c>
      <c r="J460" t="inlineStr"/>
      <c r="K460" t="inlineStr">
        <is>
          <t>沖縄県島尻郡伊平屋村</t>
        </is>
      </c>
      <c r="L460" s="1">
        <f>HYPERLINK("https://www.hi.u-tokyo.ac.jp/collection/degitalgallary/ryukyu/item/20067", "https://www.hi.u-tokyo.ac.jp/collection/degitalgallary/ryukyu/item/20067")</f>
        <v/>
      </c>
    </row>
    <row r="461">
      <c r="A461" t="inlineStr">
        <is>
          <t>20068</t>
        </is>
      </c>
      <c r="B461" t="inlineStr">
        <is>
          <t>船かゝり不成</t>
        </is>
      </c>
      <c r="C461" t="inlineStr">
        <is>
          <t>港湾</t>
        </is>
      </c>
      <c r="D461" t="inlineStr"/>
      <c r="E461" t="inlineStr"/>
      <c r="F461" t="inlineStr">
        <is>
          <t>正保琉球国悪鬼納島絵図写</t>
        </is>
      </c>
      <c r="G461" t="inlineStr"/>
      <c r="H461" t="inlineStr"/>
      <c r="I461" t="inlineStr">
        <is>
          <t>5</t>
        </is>
      </c>
      <c r="J461" t="inlineStr"/>
      <c r="K461" t="inlineStr"/>
      <c r="L461" s="1">
        <f>HYPERLINK("https://www.hi.u-tokyo.ac.jp/collection/degitalgallary/ryukyu/item/20068", "https://www.hi.u-tokyo.ac.jp/collection/degitalgallary/ryukyu/item/20068")</f>
        <v/>
      </c>
    </row>
    <row r="462">
      <c r="A462" t="inlineStr">
        <is>
          <t>20069</t>
        </is>
      </c>
      <c r="B462" t="inlineStr">
        <is>
          <t>此間五町</t>
        </is>
      </c>
      <c r="C462" t="inlineStr">
        <is>
          <t>その他</t>
        </is>
      </c>
      <c r="D462" t="inlineStr"/>
      <c r="E462" t="inlineStr"/>
      <c r="F462" t="inlineStr">
        <is>
          <t>正保琉球国悪鬼納島絵図写</t>
        </is>
      </c>
      <c r="G462" t="inlineStr"/>
      <c r="H462" t="inlineStr"/>
      <c r="I462" t="inlineStr">
        <is>
          <t>6</t>
        </is>
      </c>
      <c r="J462" t="inlineStr"/>
      <c r="K462" t="inlineStr"/>
      <c r="L462" s="1">
        <f>HYPERLINK("https://www.hi.u-tokyo.ac.jp/collection/degitalgallary/ryukyu/item/20069", "https://www.hi.u-tokyo.ac.jp/collection/degitalgallary/ryukyu/item/20069")</f>
        <v/>
      </c>
    </row>
    <row r="463">
      <c r="A463" t="inlineStr">
        <is>
          <t>20070</t>
        </is>
      </c>
      <c r="B463" t="inlineStr">
        <is>
          <t>恵平屋嶋ゟ具志川嶋間、壱里</t>
        </is>
      </c>
      <c r="C463" t="inlineStr">
        <is>
          <t>その他</t>
        </is>
      </c>
      <c r="D463" t="inlineStr">
        <is>
          <t>27.0384936</t>
        </is>
      </c>
      <c r="E463" t="inlineStr">
        <is>
          <t>127.9686378</t>
        </is>
      </c>
      <c r="F463" t="inlineStr">
        <is>
          <t>正保琉球国悪鬼納島絵図写</t>
        </is>
      </c>
      <c r="G463" t="inlineStr"/>
      <c r="H463" t="inlineStr"/>
      <c r="I463" t="inlineStr">
        <is>
          <t>7</t>
        </is>
      </c>
      <c r="J463" t="inlineStr"/>
      <c r="K463" t="inlineStr">
        <is>
          <t>沖縄県島尻郡伊平屋村我喜屋</t>
        </is>
      </c>
      <c r="L463" s="1">
        <f>HYPERLINK("https://www.hi.u-tokyo.ac.jp/collection/degitalgallary/ryukyu/item/20070", "https://www.hi.u-tokyo.ac.jp/collection/degitalgallary/ryukyu/item/20070")</f>
        <v/>
      </c>
    </row>
    <row r="464">
      <c r="A464" t="inlineStr">
        <is>
          <t>20071</t>
        </is>
      </c>
      <c r="B464" t="inlineStr">
        <is>
          <t>のほ嶋</t>
        </is>
      </c>
      <c r="C464" t="inlineStr">
        <is>
          <t>島</t>
        </is>
      </c>
      <c r="D464" t="inlineStr">
        <is>
          <t>26.9952591</t>
        </is>
      </c>
      <c r="E464" t="inlineStr">
        <is>
          <t>127.920554</t>
        </is>
      </c>
      <c r="F464" t="inlineStr">
        <is>
          <t>正保琉球国悪鬼納島絵図写</t>
        </is>
      </c>
      <c r="G464" t="inlineStr">
        <is>
          <t>恵平屋嶋之内、人居有、嶋廻廿三町</t>
        </is>
      </c>
      <c r="H464" t="inlineStr"/>
      <c r="I464" t="inlineStr">
        <is>
          <t>8</t>
        </is>
      </c>
      <c r="J464" t="inlineStr"/>
      <c r="K464" t="inlineStr">
        <is>
          <t>沖縄県島尻郡伊平屋村野甫</t>
        </is>
      </c>
      <c r="L464" s="1">
        <f>HYPERLINK("https://www.hi.u-tokyo.ac.jp/collection/degitalgallary/ryukyu/item/20071", "https://www.hi.u-tokyo.ac.jp/collection/degitalgallary/ryukyu/item/20071")</f>
        <v/>
      </c>
    </row>
    <row r="465">
      <c r="A465" t="inlineStr">
        <is>
          <t>20072</t>
        </is>
      </c>
      <c r="B465" t="inlineStr">
        <is>
          <t>伊是那嶋ヨリのほ嶋間、廿六町</t>
        </is>
      </c>
      <c r="C465" t="inlineStr">
        <is>
          <t>その他</t>
        </is>
      </c>
      <c r="D465" t="inlineStr"/>
      <c r="E465" t="inlineStr"/>
      <c r="F465" t="inlineStr">
        <is>
          <t>正保琉球国悪鬼納島絵図写</t>
        </is>
      </c>
      <c r="G465" t="inlineStr"/>
      <c r="H465" t="inlineStr"/>
      <c r="I465" t="inlineStr">
        <is>
          <t>9</t>
        </is>
      </c>
      <c r="J465" t="inlineStr"/>
      <c r="K465" t="inlineStr"/>
      <c r="L465" s="1">
        <f>HYPERLINK("https://www.hi.u-tokyo.ac.jp/collection/degitalgallary/ryukyu/item/20072", "https://www.hi.u-tokyo.ac.jp/collection/degitalgallary/ryukyu/item/20072")</f>
        <v/>
      </c>
    </row>
    <row r="466">
      <c r="A466" t="inlineStr">
        <is>
          <t>20073</t>
        </is>
      </c>
      <c r="B466" t="inlineStr">
        <is>
          <t>具志川嶋</t>
        </is>
      </c>
      <c r="C466" t="inlineStr">
        <is>
          <t>島</t>
        </is>
      </c>
      <c r="D466" t="inlineStr">
        <is>
          <t>26.975864</t>
        </is>
      </c>
      <c r="E466" t="inlineStr">
        <is>
          <t>127.9499853</t>
        </is>
      </c>
      <c r="F466" t="inlineStr">
        <is>
          <t>正保琉球国悪鬼納島絵図写</t>
        </is>
      </c>
      <c r="G466" t="inlineStr">
        <is>
          <t>伊是那嶋之内、人居なし</t>
        </is>
      </c>
      <c r="H466" t="inlineStr"/>
      <c r="I466" t="inlineStr">
        <is>
          <t>10</t>
        </is>
      </c>
      <c r="J466" t="inlineStr"/>
      <c r="K466" t="inlineStr">
        <is>
          <t>沖縄県島尻郡伊是名村諸見</t>
        </is>
      </c>
      <c r="L466" s="1">
        <f>HYPERLINK("https://www.hi.u-tokyo.ac.jp/collection/degitalgallary/ryukyu/item/20073", "https://www.hi.u-tokyo.ac.jp/collection/degitalgallary/ryukyu/item/20073")</f>
        <v/>
      </c>
    </row>
    <row r="467">
      <c r="A467" t="inlineStr">
        <is>
          <t>20074</t>
        </is>
      </c>
      <c r="B467" t="inlineStr">
        <is>
          <t>此間廿町</t>
        </is>
      </c>
      <c r="C467" t="inlineStr">
        <is>
          <t>その他</t>
        </is>
      </c>
      <c r="D467" t="inlineStr"/>
      <c r="E467" t="inlineStr"/>
      <c r="F467" t="inlineStr">
        <is>
          <t>正保琉球国悪鬼納島絵図写</t>
        </is>
      </c>
      <c r="G467" t="inlineStr"/>
      <c r="H467" t="inlineStr"/>
      <c r="I467" t="inlineStr">
        <is>
          <t>11</t>
        </is>
      </c>
      <c r="J467" t="inlineStr"/>
      <c r="K467" t="inlineStr"/>
      <c r="L467" s="1">
        <f>HYPERLINK("https://www.hi.u-tokyo.ac.jp/collection/degitalgallary/ryukyu/item/20074", "https://www.hi.u-tokyo.ac.jp/collection/degitalgallary/ryukyu/item/20074")</f>
        <v/>
      </c>
    </row>
    <row r="468">
      <c r="A468" t="inlineStr">
        <is>
          <t>20075</t>
        </is>
      </c>
      <c r="B468" t="inlineStr">
        <is>
          <t>此間廿町</t>
        </is>
      </c>
      <c r="C468" t="inlineStr">
        <is>
          <t>その他</t>
        </is>
      </c>
      <c r="D468" t="inlineStr"/>
      <c r="E468" t="inlineStr"/>
      <c r="F468" t="inlineStr">
        <is>
          <t>正保琉球国悪鬼納島絵図写</t>
        </is>
      </c>
      <c r="G468" t="inlineStr"/>
      <c r="H468" t="inlineStr"/>
      <c r="I468" t="inlineStr">
        <is>
          <t>12</t>
        </is>
      </c>
      <c r="J468" t="inlineStr"/>
      <c r="K468" t="inlineStr"/>
      <c r="L468" s="1">
        <f>HYPERLINK("https://www.hi.u-tokyo.ac.jp/collection/degitalgallary/ryukyu/item/20075", "https://www.hi.u-tokyo.ac.jp/collection/degitalgallary/ryukyu/item/20075")</f>
        <v/>
      </c>
    </row>
    <row r="469">
      <c r="A469" t="inlineStr">
        <is>
          <t>20076</t>
        </is>
      </c>
      <c r="B469" t="inlineStr">
        <is>
          <t>やなは嶋</t>
        </is>
      </c>
      <c r="C469" t="inlineStr">
        <is>
          <t>島</t>
        </is>
      </c>
      <c r="D469" t="inlineStr">
        <is>
          <t>26.8982796</t>
        </is>
      </c>
      <c r="E469" t="inlineStr">
        <is>
          <t>127.9241506</t>
        </is>
      </c>
      <c r="F469" t="inlineStr">
        <is>
          <t>正保琉球国悪鬼納島絵図写</t>
        </is>
      </c>
      <c r="G469" t="inlineStr">
        <is>
          <t>伊是那嶋之内、人居なし</t>
        </is>
      </c>
      <c r="H469" t="inlineStr"/>
      <c r="I469" t="inlineStr">
        <is>
          <t>13</t>
        </is>
      </c>
      <c r="J469" t="inlineStr"/>
      <c r="K469" t="inlineStr">
        <is>
          <t>沖縄県島尻郡伊是名村伊是名</t>
        </is>
      </c>
      <c r="L469" s="1">
        <f>HYPERLINK("https://www.hi.u-tokyo.ac.jp/collection/degitalgallary/ryukyu/item/20076", "https://www.hi.u-tokyo.ac.jp/collection/degitalgallary/ryukyu/item/20076")</f>
        <v/>
      </c>
    </row>
    <row r="470">
      <c r="A470" t="inlineStr">
        <is>
          <t>20077</t>
        </is>
      </c>
      <c r="B470" t="inlineStr">
        <is>
          <t>によは入江ヨリ恵平屋嶋迄、海上拾里丑之方ニ当ル</t>
        </is>
      </c>
      <c r="C470" t="inlineStr">
        <is>
          <t>航路</t>
        </is>
      </c>
      <c r="D470" t="inlineStr"/>
      <c r="E470" t="inlineStr"/>
      <c r="F470" t="inlineStr">
        <is>
          <t>正保琉球国悪鬼納島絵図写</t>
        </is>
      </c>
      <c r="G470" t="inlineStr"/>
      <c r="H470" t="inlineStr"/>
      <c r="I470" t="inlineStr">
        <is>
          <t>14</t>
        </is>
      </c>
      <c r="J470" t="inlineStr"/>
      <c r="K470" t="inlineStr"/>
      <c r="L470" s="1">
        <f>HYPERLINK("https://www.hi.u-tokyo.ac.jp/collection/degitalgallary/ryukyu/item/20077", "https://www.hi.u-tokyo.ac.jp/collection/degitalgallary/ryukyu/item/20077")</f>
        <v/>
      </c>
    </row>
    <row r="471">
      <c r="A471" t="inlineStr">
        <is>
          <t>20078</t>
        </is>
      </c>
      <c r="B471" t="inlineStr">
        <is>
          <t>（合印）</t>
        </is>
      </c>
      <c r="C471" t="inlineStr">
        <is>
          <t>その他</t>
        </is>
      </c>
      <c r="D471" t="inlineStr"/>
      <c r="E471" t="inlineStr"/>
      <c r="F471" t="inlineStr">
        <is>
          <t>正保琉球国悪鬼納島絵図写</t>
        </is>
      </c>
      <c r="G471" t="inlineStr"/>
      <c r="H471" t="inlineStr">
        <is>
          <t>◇</t>
        </is>
      </c>
      <c r="I471" t="inlineStr"/>
      <c r="J471" t="inlineStr"/>
      <c r="K471" t="inlineStr"/>
      <c r="L471" s="1">
        <f>HYPERLINK("https://www.hi.u-tokyo.ac.jp/collection/degitalgallary/ryukyu/item/20078", "https://www.hi.u-tokyo.ac.jp/collection/degitalgallary/ryukyu/item/20078")</f>
        <v/>
      </c>
    </row>
    <row r="472">
      <c r="A472" t="inlineStr">
        <is>
          <t>20079</t>
        </is>
      </c>
      <c r="B472" t="inlineStr">
        <is>
          <t>運天湊ヨリ与論嶋之内あがさ泊迄、海上廿里丑寅之方ニ当ル、此渡昼夜共ニ汐東へ落ル</t>
        </is>
      </c>
      <c r="C472" t="inlineStr">
        <is>
          <t>航路</t>
        </is>
      </c>
      <c r="D472" t="inlineStr"/>
      <c r="E472" t="inlineStr"/>
      <c r="F472" t="inlineStr">
        <is>
          <t>正保琉球国悪鬼納島絵図写</t>
        </is>
      </c>
      <c r="G472" t="inlineStr"/>
      <c r="H472" t="inlineStr"/>
      <c r="I472" t="inlineStr">
        <is>
          <t>15</t>
        </is>
      </c>
      <c r="J472" t="inlineStr"/>
      <c r="K472" t="inlineStr"/>
      <c r="L472" s="1">
        <f>HYPERLINK("https://www.hi.u-tokyo.ac.jp/collection/degitalgallary/ryukyu/item/20079", "https://www.hi.u-tokyo.ac.jp/collection/degitalgallary/ryukyu/item/20079")</f>
        <v/>
      </c>
    </row>
    <row r="473">
      <c r="A473" t="inlineStr">
        <is>
          <t>20080</t>
        </is>
      </c>
      <c r="B473" t="inlineStr">
        <is>
          <t>歩渡り</t>
        </is>
      </c>
      <c r="C473" t="inlineStr">
        <is>
          <t>渡河点</t>
        </is>
      </c>
      <c r="D473" t="inlineStr"/>
      <c r="E473" t="inlineStr"/>
      <c r="F473" t="inlineStr">
        <is>
          <t>正保琉球国悪鬼納島絵図写</t>
        </is>
      </c>
      <c r="G473" t="inlineStr"/>
      <c r="H473" t="inlineStr"/>
      <c r="I473" t="inlineStr">
        <is>
          <t>（番号なし）</t>
        </is>
      </c>
      <c r="J473" t="inlineStr"/>
      <c r="K473" t="inlineStr"/>
      <c r="L473" s="1">
        <f>HYPERLINK("https://www.hi.u-tokyo.ac.jp/collection/degitalgallary/ryukyu/item/20080", "https://www.hi.u-tokyo.ac.jp/collection/degitalgallary/ryukyu/item/20080")</f>
        <v/>
      </c>
    </row>
    <row r="474">
      <c r="A474" t="inlineStr">
        <is>
          <t>20081</t>
        </is>
      </c>
      <c r="B474" t="inlineStr">
        <is>
          <t>へと崎</t>
        </is>
      </c>
      <c r="C474" t="inlineStr">
        <is>
          <t>崎</t>
        </is>
      </c>
      <c r="D474" t="inlineStr">
        <is>
          <t>26.8721096</t>
        </is>
      </c>
      <c r="E474" t="inlineStr">
        <is>
          <t>128.2647157</t>
        </is>
      </c>
      <c r="F474" t="inlineStr">
        <is>
          <t>正保琉球国悪鬼納島絵図写</t>
        </is>
      </c>
      <c r="G474" t="inlineStr"/>
      <c r="H474" t="inlineStr"/>
      <c r="I474" t="inlineStr">
        <is>
          <t>16</t>
        </is>
      </c>
      <c r="J474" t="inlineStr"/>
      <c r="K474" t="inlineStr">
        <is>
          <t>沖縄県国頭郡国頭村辺戸</t>
        </is>
      </c>
      <c r="L474" s="1">
        <f>HYPERLINK("https://www.hi.u-tokyo.ac.jp/collection/degitalgallary/ryukyu/item/20081", "https://www.hi.u-tokyo.ac.jp/collection/degitalgallary/ryukyu/item/20081")</f>
        <v/>
      </c>
    </row>
    <row r="475">
      <c r="A475" t="inlineStr">
        <is>
          <t>20082</t>
        </is>
      </c>
      <c r="B475" t="inlineStr">
        <is>
          <t>赤崎</t>
        </is>
      </c>
      <c r="C475" t="inlineStr">
        <is>
          <t>崎</t>
        </is>
      </c>
      <c r="D475" t="inlineStr"/>
      <c r="E475" t="inlineStr"/>
      <c r="F475" t="inlineStr">
        <is>
          <t>正保琉球国悪鬼納島絵図写</t>
        </is>
      </c>
      <c r="G475" t="inlineStr"/>
      <c r="H475" t="inlineStr"/>
      <c r="I475" t="inlineStr">
        <is>
          <t>17</t>
        </is>
      </c>
      <c r="J475" t="inlineStr"/>
      <c r="K475" t="inlineStr"/>
      <c r="L475" s="1">
        <f>HYPERLINK("https://www.hi.u-tokyo.ac.jp/collection/degitalgallary/ryukyu/item/20082", "https://www.hi.u-tokyo.ac.jp/collection/degitalgallary/ryukyu/item/20082")</f>
        <v/>
      </c>
    </row>
    <row r="476">
      <c r="A476" t="inlineStr">
        <is>
          <t>20083</t>
        </is>
      </c>
      <c r="B476" t="inlineStr">
        <is>
          <t>歩渡り</t>
        </is>
      </c>
      <c r="C476" t="inlineStr">
        <is>
          <t>渡河点</t>
        </is>
      </c>
      <c r="D476" t="inlineStr"/>
      <c r="E476" t="inlineStr"/>
      <c r="F476" t="inlineStr">
        <is>
          <t>正保琉球国悪鬼納島絵図写</t>
        </is>
      </c>
      <c r="G476" t="inlineStr"/>
      <c r="H476" t="inlineStr"/>
      <c r="I476" t="inlineStr">
        <is>
          <t>18</t>
        </is>
      </c>
      <c r="J476" t="inlineStr"/>
      <c r="K476" t="inlineStr"/>
      <c r="L476" s="1">
        <f>HYPERLINK("https://www.hi.u-tokyo.ac.jp/collection/degitalgallary/ryukyu/item/20083", "https://www.hi.u-tokyo.ac.jp/collection/degitalgallary/ryukyu/item/20083")</f>
        <v/>
      </c>
    </row>
    <row r="477">
      <c r="A477" t="inlineStr">
        <is>
          <t>20084</t>
        </is>
      </c>
      <c r="B477" t="inlineStr">
        <is>
          <t>干潟</t>
        </is>
      </c>
      <c r="C477" t="inlineStr">
        <is>
          <t>渡河点</t>
        </is>
      </c>
      <c r="D477" t="inlineStr"/>
      <c r="E477" t="inlineStr"/>
      <c r="F477" t="inlineStr">
        <is>
          <t>正保琉球国悪鬼納島絵図写</t>
        </is>
      </c>
      <c r="G477" t="inlineStr"/>
      <c r="H477" t="inlineStr"/>
      <c r="I477" t="inlineStr">
        <is>
          <t>19</t>
        </is>
      </c>
      <c r="J477" t="inlineStr"/>
      <c r="K477" t="inlineStr"/>
      <c r="L477" s="1">
        <f>HYPERLINK("https://www.hi.u-tokyo.ac.jp/collection/degitalgallary/ryukyu/item/20084", "https://www.hi.u-tokyo.ac.jp/collection/degitalgallary/ryukyu/item/20084")</f>
        <v/>
      </c>
    </row>
    <row r="478">
      <c r="A478" t="inlineStr">
        <is>
          <t>20085</t>
        </is>
      </c>
      <c r="B478" t="inlineStr">
        <is>
          <t>干潟</t>
        </is>
      </c>
      <c r="C478" t="inlineStr">
        <is>
          <t>渡河点</t>
        </is>
      </c>
      <c r="D478" t="inlineStr"/>
      <c r="E478" t="inlineStr"/>
      <c r="F478" t="inlineStr">
        <is>
          <t>正保琉球国悪鬼納島絵図写</t>
        </is>
      </c>
      <c r="G478" t="inlineStr"/>
      <c r="H478" t="inlineStr"/>
      <c r="I478" t="inlineStr">
        <is>
          <t>20</t>
        </is>
      </c>
      <c r="J478" t="inlineStr"/>
      <c r="K478" t="inlineStr"/>
      <c r="L478" s="1">
        <f>HYPERLINK("https://www.hi.u-tokyo.ac.jp/collection/degitalgallary/ryukyu/item/20085", "https://www.hi.u-tokyo.ac.jp/collection/degitalgallary/ryukyu/item/20085")</f>
        <v/>
      </c>
    </row>
    <row r="479">
      <c r="A479" t="inlineStr">
        <is>
          <t>20086</t>
        </is>
      </c>
      <c r="B479" t="inlineStr">
        <is>
          <t>かつせの崎</t>
        </is>
      </c>
      <c r="C479" t="inlineStr">
        <is>
          <t>崎</t>
        </is>
      </c>
      <c r="D479" t="inlineStr">
        <is>
          <t>26.721202</t>
        </is>
      </c>
      <c r="E479" t="inlineStr">
        <is>
          <t>128.303326</t>
        </is>
      </c>
      <c r="F479" t="inlineStr">
        <is>
          <t>正保琉球国悪鬼納島絵図写</t>
        </is>
      </c>
      <c r="G479" t="inlineStr"/>
      <c r="H479" t="inlineStr"/>
      <c r="I479" t="inlineStr">
        <is>
          <t>21</t>
        </is>
      </c>
      <c r="J479" t="inlineStr"/>
      <c r="K479" t="inlineStr">
        <is>
          <t>沖縄県国頭郡国頭村安波</t>
        </is>
      </c>
      <c r="L479" s="1">
        <f>HYPERLINK("https://www.hi.u-tokyo.ac.jp/collection/degitalgallary/ryukyu/item/20086", "https://www.hi.u-tokyo.ac.jp/collection/degitalgallary/ryukyu/item/20086")</f>
        <v/>
      </c>
    </row>
    <row r="480">
      <c r="A480" t="inlineStr">
        <is>
          <t>20087</t>
        </is>
      </c>
      <c r="B480" t="inlineStr">
        <is>
          <t>四十三間舟渡り</t>
        </is>
      </c>
      <c r="C480" t="inlineStr">
        <is>
          <t>航路</t>
        </is>
      </c>
      <c r="D480" t="inlineStr"/>
      <c r="E480" t="inlineStr"/>
      <c r="F480" t="inlineStr">
        <is>
          <t>正保琉球国悪鬼納島絵図写</t>
        </is>
      </c>
      <c r="G480" t="inlineStr"/>
      <c r="H480" t="inlineStr"/>
      <c r="I480" t="inlineStr">
        <is>
          <t>22</t>
        </is>
      </c>
      <c r="J480" t="inlineStr"/>
      <c r="K480" t="inlineStr"/>
      <c r="L480" s="1">
        <f>HYPERLINK("https://www.hi.u-tokyo.ac.jp/collection/degitalgallary/ryukyu/item/20087", "https://www.hi.u-tokyo.ac.jp/collection/degitalgallary/ryukyu/item/20087")</f>
        <v/>
      </c>
    </row>
    <row r="481">
      <c r="A481" t="inlineStr">
        <is>
          <t>20088</t>
        </is>
      </c>
      <c r="B481" t="inlineStr">
        <is>
          <t>赤丸崎</t>
        </is>
      </c>
      <c r="C481" t="inlineStr">
        <is>
          <t>崎</t>
        </is>
      </c>
      <c r="D481" t="inlineStr">
        <is>
          <t>26.7457675</t>
        </is>
      </c>
      <c r="E481" t="inlineStr">
        <is>
          <t>128.1531653</t>
        </is>
      </c>
      <c r="F481" t="inlineStr">
        <is>
          <t>正保琉球国悪鬼納島絵図写</t>
        </is>
      </c>
      <c r="G481" t="inlineStr"/>
      <c r="H481" t="inlineStr"/>
      <c r="I481" t="inlineStr">
        <is>
          <t>23</t>
        </is>
      </c>
      <c r="J481" t="inlineStr"/>
      <c r="K481" t="inlineStr">
        <is>
          <t>沖縄県国頭郡国頭村辺土名</t>
        </is>
      </c>
      <c r="L481" s="1">
        <f>HYPERLINK("https://www.hi.u-tokyo.ac.jp/collection/degitalgallary/ryukyu/item/20088", "https://www.hi.u-tokyo.ac.jp/collection/degitalgallary/ryukyu/item/20088")</f>
        <v/>
      </c>
    </row>
    <row r="482">
      <c r="A482" t="inlineStr">
        <is>
          <t>20089</t>
        </is>
      </c>
      <c r="B482" t="inlineStr">
        <is>
          <t>歩渡り</t>
        </is>
      </c>
      <c r="C482" t="inlineStr">
        <is>
          <t>渡河点</t>
        </is>
      </c>
      <c r="D482" t="inlineStr"/>
      <c r="E482" t="inlineStr"/>
      <c r="F482" t="inlineStr">
        <is>
          <t>正保琉球国悪鬼納島絵図写</t>
        </is>
      </c>
      <c r="G482" t="inlineStr"/>
      <c r="H482" t="inlineStr"/>
      <c r="I482" t="inlineStr">
        <is>
          <t>24</t>
        </is>
      </c>
      <c r="J482" t="inlineStr"/>
      <c r="K482" t="inlineStr"/>
      <c r="L482" s="1">
        <f>HYPERLINK("https://www.hi.u-tokyo.ac.jp/collection/degitalgallary/ryukyu/item/20089", "https://www.hi.u-tokyo.ac.jp/collection/degitalgallary/ryukyu/item/20089")</f>
        <v/>
      </c>
    </row>
    <row r="483">
      <c r="A483" t="inlineStr">
        <is>
          <t>20090</t>
        </is>
      </c>
      <c r="B483" t="inlineStr">
        <is>
          <t>国頭間切大道ヨリあは村迄、三里廿五町廿間</t>
        </is>
      </c>
      <c r="C483" t="inlineStr">
        <is>
          <t>陸路</t>
        </is>
      </c>
      <c r="D483" t="inlineStr"/>
      <c r="E483" t="inlineStr"/>
      <c r="F483" t="inlineStr">
        <is>
          <t>正保琉球国悪鬼納島絵図写</t>
        </is>
      </c>
      <c r="G483" t="inlineStr"/>
      <c r="H483" t="inlineStr"/>
      <c r="I483" t="inlineStr">
        <is>
          <t>25</t>
        </is>
      </c>
      <c r="J483" t="inlineStr"/>
      <c r="K483" t="inlineStr"/>
      <c r="L483" s="1">
        <f>HYPERLINK("https://www.hi.u-tokyo.ac.jp/collection/degitalgallary/ryukyu/item/20090", "https://www.hi.u-tokyo.ac.jp/collection/degitalgallary/ryukyu/item/20090")</f>
        <v/>
      </c>
    </row>
    <row r="484">
      <c r="A484" t="inlineStr">
        <is>
          <t>20091</t>
        </is>
      </c>
      <c r="B484" t="inlineStr">
        <is>
          <t>歩渡り</t>
        </is>
      </c>
      <c r="C484" t="inlineStr">
        <is>
          <t>渡河点</t>
        </is>
      </c>
      <c r="D484" t="inlineStr"/>
      <c r="E484" t="inlineStr"/>
      <c r="F484" t="inlineStr">
        <is>
          <t>正保琉球国悪鬼納島絵図写</t>
        </is>
      </c>
      <c r="G484" t="inlineStr"/>
      <c r="H484" t="inlineStr"/>
      <c r="I484" t="inlineStr">
        <is>
          <t>26</t>
        </is>
      </c>
      <c r="J484" t="inlineStr"/>
      <c r="K484" t="inlineStr"/>
      <c r="L484" s="1">
        <f>HYPERLINK("https://www.hi.u-tokyo.ac.jp/collection/degitalgallary/ryukyu/item/20091", "https://www.hi.u-tokyo.ac.jp/collection/degitalgallary/ryukyu/item/20091")</f>
        <v/>
      </c>
    </row>
    <row r="485">
      <c r="A485" t="inlineStr">
        <is>
          <t>20092</t>
        </is>
      </c>
      <c r="B485" t="inlineStr">
        <is>
          <t>九町舟渡り</t>
        </is>
      </c>
      <c r="C485" t="inlineStr">
        <is>
          <t>航路</t>
        </is>
      </c>
      <c r="D485" t="inlineStr"/>
      <c r="E485" t="inlineStr"/>
      <c r="F485" t="inlineStr">
        <is>
          <t>正保琉球国悪鬼納島絵図写</t>
        </is>
      </c>
      <c r="G485" t="inlineStr"/>
      <c r="H485" t="inlineStr"/>
      <c r="I485" t="inlineStr">
        <is>
          <t>27</t>
        </is>
      </c>
      <c r="J485" t="inlineStr"/>
      <c r="K485" t="inlineStr"/>
      <c r="L485" s="1">
        <f>HYPERLINK("https://www.hi.u-tokyo.ac.jp/collection/degitalgallary/ryukyu/item/20092", "https://www.hi.u-tokyo.ac.jp/collection/degitalgallary/ryukyu/item/20092")</f>
        <v/>
      </c>
    </row>
    <row r="486">
      <c r="A486" t="inlineStr">
        <is>
          <t>20093</t>
        </is>
      </c>
      <c r="B486" t="inlineStr">
        <is>
          <t>いな城嶋</t>
        </is>
      </c>
      <c r="C486" t="inlineStr">
        <is>
          <t>島</t>
        </is>
      </c>
      <c r="D486" t="inlineStr">
        <is>
          <t>26.6677779</t>
        </is>
      </c>
      <c r="E486" t="inlineStr">
        <is>
          <t>128.1021454</t>
        </is>
      </c>
      <c r="F486" t="inlineStr">
        <is>
          <t>正保琉球国悪鬼納島絵図写</t>
        </is>
      </c>
      <c r="G486" t="inlineStr">
        <is>
          <t>人居なし</t>
        </is>
      </c>
      <c r="H486" t="inlineStr"/>
      <c r="I486" t="inlineStr">
        <is>
          <t>28</t>
        </is>
      </c>
      <c r="J486" t="inlineStr"/>
      <c r="K486" t="inlineStr">
        <is>
          <t>沖縄県国頭郡大宜味村宮城</t>
        </is>
      </c>
      <c r="L486" s="1">
        <f>HYPERLINK("https://www.hi.u-tokyo.ac.jp/collection/degitalgallary/ryukyu/item/20093", "https://www.hi.u-tokyo.ac.jp/collection/degitalgallary/ryukyu/item/20093")</f>
        <v/>
      </c>
    </row>
    <row r="487">
      <c r="A487" t="inlineStr">
        <is>
          <t>20094</t>
        </is>
      </c>
      <c r="B487" t="inlineStr">
        <is>
          <t>歩渡り</t>
        </is>
      </c>
      <c r="C487" t="inlineStr">
        <is>
          <t>渡河点</t>
        </is>
      </c>
      <c r="D487" t="inlineStr"/>
      <c r="E487" t="inlineStr"/>
      <c r="F487" t="inlineStr">
        <is>
          <t>正保琉球国悪鬼納島絵図写</t>
        </is>
      </c>
      <c r="G487" t="inlineStr"/>
      <c r="H487" t="inlineStr"/>
      <c r="I487" t="inlineStr">
        <is>
          <t>29</t>
        </is>
      </c>
      <c r="J487" t="inlineStr"/>
      <c r="K487" t="inlineStr"/>
      <c r="L487" s="1">
        <f>HYPERLINK("https://www.hi.u-tokyo.ac.jp/collection/degitalgallary/ryukyu/item/20094", "https://www.hi.u-tokyo.ac.jp/collection/degitalgallary/ryukyu/item/20094")</f>
        <v/>
      </c>
    </row>
    <row r="488">
      <c r="A488" t="inlineStr">
        <is>
          <t>20095</t>
        </is>
      </c>
      <c r="B488" t="inlineStr">
        <is>
          <t>歩渡り</t>
        </is>
      </c>
      <c r="C488" t="inlineStr">
        <is>
          <t>渡河点</t>
        </is>
      </c>
      <c r="D488" t="inlineStr"/>
      <c r="E488" t="inlineStr"/>
      <c r="F488" t="inlineStr">
        <is>
          <t>正保琉球国悪鬼納島絵図写</t>
        </is>
      </c>
      <c r="G488" t="inlineStr"/>
      <c r="H488" t="inlineStr"/>
      <c r="I488" t="inlineStr">
        <is>
          <t>30</t>
        </is>
      </c>
      <c r="J488" t="inlineStr"/>
      <c r="K488" t="inlineStr"/>
      <c r="L488" s="1">
        <f>HYPERLINK("https://www.hi.u-tokyo.ac.jp/collection/degitalgallary/ryukyu/item/20095", "https://www.hi.u-tokyo.ac.jp/collection/degitalgallary/ryukyu/item/20095")</f>
        <v/>
      </c>
    </row>
    <row r="489">
      <c r="A489" t="inlineStr">
        <is>
          <t>20096</t>
        </is>
      </c>
      <c r="B489" t="inlineStr">
        <is>
          <t>あぶ嶋</t>
        </is>
      </c>
      <c r="C489" t="inlineStr">
        <is>
          <t>島</t>
        </is>
      </c>
      <c r="D489" t="inlineStr">
        <is>
          <t>26.6393269</t>
        </is>
      </c>
      <c r="E489" t="inlineStr">
        <is>
          <t>128.0333847</t>
        </is>
      </c>
      <c r="F489" t="inlineStr">
        <is>
          <t>正保琉球国悪鬼納島絵図写</t>
        </is>
      </c>
      <c r="G489" t="inlineStr">
        <is>
          <t>人居なし</t>
        </is>
      </c>
      <c r="H489" t="inlineStr"/>
      <c r="I489" t="inlineStr">
        <is>
          <t>31</t>
        </is>
      </c>
      <c r="J489" t="inlineStr"/>
      <c r="K489" t="inlineStr">
        <is>
          <t>沖縄県名護市真喜屋</t>
        </is>
      </c>
      <c r="L489" s="1">
        <f>HYPERLINK("https://www.hi.u-tokyo.ac.jp/collection/degitalgallary/ryukyu/item/20096", "https://www.hi.u-tokyo.ac.jp/collection/degitalgallary/ryukyu/item/20096")</f>
        <v/>
      </c>
    </row>
    <row r="490">
      <c r="A490" t="inlineStr">
        <is>
          <t>20097</t>
        </is>
      </c>
      <c r="B490" t="inlineStr">
        <is>
          <t>川田村ヨリあは村迄、海上四里</t>
        </is>
      </c>
      <c r="C490" t="inlineStr">
        <is>
          <t>陸路</t>
        </is>
      </c>
      <c r="D490" t="inlineStr"/>
      <c r="E490" t="inlineStr"/>
      <c r="F490" t="inlineStr">
        <is>
          <t>正保琉球国悪鬼納島絵図写</t>
        </is>
      </c>
      <c r="G490" t="inlineStr"/>
      <c r="H490" t="inlineStr"/>
      <c r="I490" t="inlineStr">
        <is>
          <t>32</t>
        </is>
      </c>
      <c r="J490" t="inlineStr"/>
      <c r="K490" t="inlineStr"/>
      <c r="L490" s="1">
        <f>HYPERLINK("https://www.hi.u-tokyo.ac.jp/collection/degitalgallary/ryukyu/item/20097", "https://www.hi.u-tokyo.ac.jp/collection/degitalgallary/ryukyu/item/20097")</f>
        <v/>
      </c>
    </row>
    <row r="491">
      <c r="A491" t="inlineStr">
        <is>
          <t>20098</t>
        </is>
      </c>
      <c r="B491" t="inlineStr">
        <is>
          <t>歩渡り</t>
        </is>
      </c>
      <c r="C491" t="inlineStr">
        <is>
          <t>渡河点</t>
        </is>
      </c>
      <c r="D491" t="inlineStr"/>
      <c r="E491" t="inlineStr"/>
      <c r="F491" t="inlineStr">
        <is>
          <t>正保琉球国悪鬼納島絵図写</t>
        </is>
      </c>
      <c r="G491" t="inlineStr"/>
      <c r="H491" t="inlineStr"/>
      <c r="I491" t="inlineStr">
        <is>
          <t>33</t>
        </is>
      </c>
      <c r="J491" t="inlineStr"/>
      <c r="K491" t="inlineStr"/>
      <c r="L491" s="1">
        <f>HYPERLINK("https://www.hi.u-tokyo.ac.jp/collection/degitalgallary/ryukyu/item/20098", "https://www.hi.u-tokyo.ac.jp/collection/degitalgallary/ryukyu/item/20098")</f>
        <v/>
      </c>
    </row>
    <row r="492">
      <c r="A492" t="inlineStr">
        <is>
          <t>20099</t>
        </is>
      </c>
      <c r="B492" t="inlineStr">
        <is>
          <t>げさす崎</t>
        </is>
      </c>
      <c r="C492" t="inlineStr">
        <is>
          <t>崎</t>
        </is>
      </c>
      <c r="D492" t="inlineStr">
        <is>
          <t>26.598456</t>
        </is>
      </c>
      <c r="E492" t="inlineStr">
        <is>
          <t>128.150242</t>
        </is>
      </c>
      <c r="F492" t="inlineStr">
        <is>
          <t>正保琉球国悪鬼納島絵図写</t>
        </is>
      </c>
      <c r="G492" t="inlineStr"/>
      <c r="H492" t="inlineStr"/>
      <c r="I492" t="inlineStr">
        <is>
          <t>34</t>
        </is>
      </c>
      <c r="J492" t="inlineStr"/>
      <c r="K492" t="inlineStr">
        <is>
          <t>沖縄県国頭郡東村慶佐次</t>
        </is>
      </c>
      <c r="L492" s="1">
        <f>HYPERLINK("https://www.hi.u-tokyo.ac.jp/collection/degitalgallary/ryukyu/item/20099", "https://www.hi.u-tokyo.ac.jp/collection/degitalgallary/ryukyu/item/20099")</f>
        <v/>
      </c>
    </row>
    <row r="493">
      <c r="A493" t="inlineStr">
        <is>
          <t>20100</t>
        </is>
      </c>
      <c r="B493" t="inlineStr">
        <is>
          <t>てぎな崎</t>
        </is>
      </c>
      <c r="C493" t="inlineStr">
        <is>
          <t>崎</t>
        </is>
      </c>
      <c r="D493" t="inlineStr">
        <is>
          <t>26.5685429</t>
        </is>
      </c>
      <c r="E493" t="inlineStr">
        <is>
          <t>128.1501534</t>
        </is>
      </c>
      <c r="F493" t="inlineStr">
        <is>
          <t>正保琉球国悪鬼納島絵図写</t>
        </is>
      </c>
      <c r="G493" t="inlineStr"/>
      <c r="H493" t="inlineStr"/>
      <c r="I493" t="inlineStr">
        <is>
          <t>35</t>
        </is>
      </c>
      <c r="J493" t="inlineStr"/>
      <c r="K493" t="inlineStr">
        <is>
          <t>沖縄県名護市天仁屋</t>
        </is>
      </c>
      <c r="L493" s="1">
        <f>HYPERLINK("https://www.hi.u-tokyo.ac.jp/collection/degitalgallary/ryukyu/item/20100", "https://www.hi.u-tokyo.ac.jp/collection/degitalgallary/ryukyu/item/20100")</f>
        <v/>
      </c>
    </row>
    <row r="494">
      <c r="A494" t="inlineStr">
        <is>
          <t>20101</t>
        </is>
      </c>
      <c r="B494" t="inlineStr">
        <is>
          <t>ばり崎</t>
        </is>
      </c>
      <c r="C494" t="inlineStr">
        <is>
          <t>崎</t>
        </is>
      </c>
      <c r="D494" t="inlineStr">
        <is>
          <t>26.5541138</t>
        </is>
      </c>
      <c r="E494" t="inlineStr">
        <is>
          <t>128.1385898</t>
        </is>
      </c>
      <c r="F494" t="inlineStr">
        <is>
          <t>正保琉球国悪鬼納島絵図写</t>
        </is>
      </c>
      <c r="G494" t="inlineStr"/>
      <c r="H494" t="inlineStr"/>
      <c r="I494" t="inlineStr">
        <is>
          <t>36</t>
        </is>
      </c>
      <c r="J494" t="inlineStr"/>
      <c r="K494" t="inlineStr">
        <is>
          <t>沖縄県名護市天仁屋</t>
        </is>
      </c>
      <c r="L494" s="1">
        <f>HYPERLINK("https://www.hi.u-tokyo.ac.jp/collection/degitalgallary/ryukyu/item/20101", "https://www.hi.u-tokyo.ac.jp/collection/degitalgallary/ryukyu/item/20101")</f>
        <v/>
      </c>
    </row>
    <row r="495">
      <c r="A495" t="inlineStr">
        <is>
          <t>20102</t>
        </is>
      </c>
      <c r="B495" t="inlineStr">
        <is>
          <t>ぎみ崎</t>
        </is>
      </c>
      <c r="C495" t="inlineStr">
        <is>
          <t>崎</t>
        </is>
      </c>
      <c r="D495" t="inlineStr">
        <is>
          <t>26.538983</t>
        </is>
      </c>
      <c r="E495" t="inlineStr">
        <is>
          <t>128.101506</t>
        </is>
      </c>
      <c r="F495" t="inlineStr">
        <is>
          <t>正保琉球国悪鬼納島絵図写</t>
        </is>
      </c>
      <c r="G495" t="inlineStr"/>
      <c r="H495" t="inlineStr"/>
      <c r="I495" t="inlineStr">
        <is>
          <t>37</t>
        </is>
      </c>
      <c r="J495" t="inlineStr"/>
      <c r="K495" t="inlineStr">
        <is>
          <t>沖縄県名護市安部</t>
        </is>
      </c>
      <c r="L495" s="1">
        <f>HYPERLINK("https://www.hi.u-tokyo.ac.jp/collection/degitalgallary/ryukyu/item/20102", "https://www.hi.u-tokyo.ac.jp/collection/degitalgallary/ryukyu/item/20102")</f>
        <v/>
      </c>
    </row>
    <row r="496">
      <c r="A496" t="inlineStr">
        <is>
          <t>20103</t>
        </is>
      </c>
      <c r="B496" t="inlineStr">
        <is>
          <t>遠干潟</t>
        </is>
      </c>
      <c r="C496" t="inlineStr">
        <is>
          <t>干瀬</t>
        </is>
      </c>
      <c r="D496" t="inlineStr"/>
      <c r="E496" t="inlineStr"/>
      <c r="F496" t="inlineStr">
        <is>
          <t>正保琉球国悪鬼納島絵図写</t>
        </is>
      </c>
      <c r="G496" t="inlineStr"/>
      <c r="H496" t="inlineStr"/>
      <c r="I496" t="inlineStr">
        <is>
          <t>38</t>
        </is>
      </c>
      <c r="J496" t="inlineStr"/>
      <c r="K496" t="inlineStr"/>
      <c r="L496" s="1">
        <f>HYPERLINK("https://www.hi.u-tokyo.ac.jp/collection/degitalgallary/ryukyu/item/20103", "https://www.hi.u-tokyo.ac.jp/collection/degitalgallary/ryukyu/item/20103")</f>
        <v/>
      </c>
    </row>
    <row r="497">
      <c r="A497" t="inlineStr">
        <is>
          <t>20104</t>
        </is>
      </c>
      <c r="B497" t="inlineStr">
        <is>
          <t>へのき崎</t>
        </is>
      </c>
      <c r="C497" t="inlineStr">
        <is>
          <t>崎</t>
        </is>
      </c>
      <c r="D497" t="inlineStr">
        <is>
          <t>26.5209587</t>
        </is>
      </c>
      <c r="E497" t="inlineStr">
        <is>
          <t>128.0526029</t>
        </is>
      </c>
      <c r="F497" t="inlineStr">
        <is>
          <t>正保琉球国悪鬼納島絵図写</t>
        </is>
      </c>
      <c r="G497" t="inlineStr"/>
      <c r="H497" t="inlineStr"/>
      <c r="I497" t="inlineStr">
        <is>
          <t>39</t>
        </is>
      </c>
      <c r="J497" t="inlineStr"/>
      <c r="K497" t="inlineStr">
        <is>
          <t>沖縄県名護市辺野古</t>
        </is>
      </c>
      <c r="L497" s="1">
        <f>HYPERLINK("https://www.hi.u-tokyo.ac.jp/collection/degitalgallary/ryukyu/item/20104", "https://www.hi.u-tokyo.ac.jp/collection/degitalgallary/ryukyu/item/20104")</f>
        <v/>
      </c>
    </row>
    <row r="498">
      <c r="A498" t="inlineStr">
        <is>
          <t>20105</t>
        </is>
      </c>
      <c r="B498" t="inlineStr">
        <is>
          <t>歩渡り</t>
        </is>
      </c>
      <c r="C498" t="inlineStr">
        <is>
          <t>渡河点</t>
        </is>
      </c>
      <c r="D498" t="inlineStr"/>
      <c r="E498" t="inlineStr"/>
      <c r="F498" t="inlineStr">
        <is>
          <t>正保琉球国悪鬼納島絵図写</t>
        </is>
      </c>
      <c r="G498" t="inlineStr"/>
      <c r="H498" t="inlineStr"/>
      <c r="I498" t="inlineStr">
        <is>
          <t>40</t>
        </is>
      </c>
      <c r="J498" t="inlineStr"/>
      <c r="K498" t="inlineStr"/>
      <c r="L498" s="1">
        <f>HYPERLINK("https://www.hi.u-tokyo.ac.jp/collection/degitalgallary/ryukyu/item/20105", "https://www.hi.u-tokyo.ac.jp/collection/degitalgallary/ryukyu/item/20105")</f>
        <v/>
      </c>
    </row>
    <row r="499">
      <c r="A499" t="inlineStr">
        <is>
          <t>20106</t>
        </is>
      </c>
      <c r="B499" t="inlineStr">
        <is>
          <t>なこ間切大道ヨリおほら村大道迄、一里廿三町四十間</t>
        </is>
      </c>
      <c r="C499" t="inlineStr">
        <is>
          <t>陸路</t>
        </is>
      </c>
      <c r="D499" t="inlineStr"/>
      <c r="E499" t="inlineStr"/>
      <c r="F499" t="inlineStr">
        <is>
          <t>正保琉球国悪鬼納島絵図写</t>
        </is>
      </c>
      <c r="G499" t="inlineStr"/>
      <c r="H499" t="inlineStr"/>
      <c r="I499" t="inlineStr">
        <is>
          <t>41</t>
        </is>
      </c>
      <c r="J499" t="inlineStr"/>
      <c r="K499" t="inlineStr"/>
      <c r="L499" s="1">
        <f>HYPERLINK("https://www.hi.u-tokyo.ac.jp/collection/degitalgallary/ryukyu/item/20106", "https://www.hi.u-tokyo.ac.jp/collection/degitalgallary/ryukyu/item/20106")</f>
        <v/>
      </c>
    </row>
    <row r="500">
      <c r="A500" t="inlineStr">
        <is>
          <t>20107</t>
        </is>
      </c>
      <c r="B500" t="inlineStr">
        <is>
          <t>名護間切大道ヨリ羽地間切大道迄、一里廿一町</t>
        </is>
      </c>
      <c r="C500" t="inlineStr">
        <is>
          <t>陸路</t>
        </is>
      </c>
      <c r="D500" t="inlineStr"/>
      <c r="E500" t="inlineStr"/>
      <c r="F500" t="inlineStr">
        <is>
          <t>正保琉球国悪鬼納島絵図写</t>
        </is>
      </c>
      <c r="G500" t="inlineStr"/>
      <c r="H500" t="inlineStr"/>
      <c r="I500" t="inlineStr">
        <is>
          <t>42</t>
        </is>
      </c>
      <c r="J500" t="inlineStr"/>
      <c r="K500" t="inlineStr"/>
      <c r="L500" s="1">
        <f>HYPERLINK("https://www.hi.u-tokyo.ac.jp/collection/degitalgallary/ryukyu/item/20107", "https://www.hi.u-tokyo.ac.jp/collection/degitalgallary/ryukyu/item/20107")</f>
        <v/>
      </c>
    </row>
    <row r="501">
      <c r="A501" t="inlineStr">
        <is>
          <t>20108</t>
        </is>
      </c>
      <c r="B501" t="inlineStr">
        <is>
          <t>干潟</t>
        </is>
      </c>
      <c r="C501" t="inlineStr">
        <is>
          <t>干瀬</t>
        </is>
      </c>
      <c r="D501" t="inlineStr"/>
      <c r="E501" t="inlineStr"/>
      <c r="F501" t="inlineStr">
        <is>
          <t>正保琉球国悪鬼納島絵図写</t>
        </is>
      </c>
      <c r="G501" t="inlineStr"/>
      <c r="H501" t="inlineStr"/>
      <c r="I501" t="inlineStr">
        <is>
          <t>43</t>
        </is>
      </c>
      <c r="J501" t="inlineStr"/>
      <c r="K501" t="inlineStr"/>
      <c r="L501" s="1">
        <f>HYPERLINK("https://www.hi.u-tokyo.ac.jp/collection/degitalgallary/ryukyu/item/20108", "https://www.hi.u-tokyo.ac.jp/collection/degitalgallary/ryukyu/item/20108")</f>
        <v/>
      </c>
    </row>
    <row r="502">
      <c r="A502" t="inlineStr">
        <is>
          <t>20109</t>
        </is>
      </c>
      <c r="B502" t="inlineStr">
        <is>
          <t>きせ崎</t>
        </is>
      </c>
      <c r="C502" t="inlineStr">
        <is>
          <t>崎</t>
        </is>
      </c>
      <c r="D502" t="inlineStr">
        <is>
          <t>26.5448867</t>
        </is>
      </c>
      <c r="E502" t="inlineStr">
        <is>
          <t>127.9333031</t>
        </is>
      </c>
      <c r="F502" t="inlineStr">
        <is>
          <t>正保琉球国悪鬼納島絵図写</t>
        </is>
      </c>
      <c r="G502" t="inlineStr"/>
      <c r="H502" t="inlineStr"/>
      <c r="I502" t="inlineStr">
        <is>
          <t>44</t>
        </is>
      </c>
      <c r="J502" t="inlineStr"/>
      <c r="K502" t="inlineStr">
        <is>
          <t>沖縄県名護市喜瀬</t>
        </is>
      </c>
      <c r="L502" s="1">
        <f>HYPERLINK("https://www.hi.u-tokyo.ac.jp/collection/degitalgallary/ryukyu/item/20109", "https://www.hi.u-tokyo.ac.jp/collection/degitalgallary/ryukyu/item/20109")</f>
        <v/>
      </c>
    </row>
    <row r="503">
      <c r="A503" t="inlineStr">
        <is>
          <t>20110</t>
        </is>
      </c>
      <c r="B503" t="inlineStr">
        <is>
          <t>幸喜村大道ヨリ金武間切大道迄、壱里卅一町四十間</t>
        </is>
      </c>
      <c r="C503" t="inlineStr">
        <is>
          <t>陸路</t>
        </is>
      </c>
      <c r="D503" t="inlineStr"/>
      <c r="E503" t="inlineStr"/>
      <c r="F503" t="inlineStr">
        <is>
          <t>正保琉球国悪鬼納島絵図写</t>
        </is>
      </c>
      <c r="G503" t="inlineStr"/>
      <c r="H503" t="inlineStr"/>
      <c r="I503" t="inlineStr">
        <is>
          <t>45</t>
        </is>
      </c>
      <c r="J503" t="inlineStr"/>
      <c r="K503" t="inlineStr"/>
      <c r="L503" s="1">
        <f>HYPERLINK("https://www.hi.u-tokyo.ac.jp/collection/degitalgallary/ryukyu/item/20110", "https://www.hi.u-tokyo.ac.jp/collection/degitalgallary/ryukyu/item/20110")</f>
        <v/>
      </c>
    </row>
    <row r="504">
      <c r="A504" t="inlineStr">
        <is>
          <t>20111</t>
        </is>
      </c>
      <c r="B504" t="inlineStr">
        <is>
          <t>干潟</t>
        </is>
      </c>
      <c r="C504" t="inlineStr">
        <is>
          <t>干瀬</t>
        </is>
      </c>
      <c r="D504" t="inlineStr"/>
      <c r="E504" t="inlineStr"/>
      <c r="F504" t="inlineStr">
        <is>
          <t>正保琉球国悪鬼納島絵図写</t>
        </is>
      </c>
      <c r="G504" t="inlineStr"/>
      <c r="H504" t="inlineStr"/>
      <c r="I504" t="inlineStr">
        <is>
          <t>46</t>
        </is>
      </c>
      <c r="J504" t="inlineStr"/>
      <c r="K504" t="inlineStr"/>
      <c r="L504" s="1">
        <f>HYPERLINK("https://www.hi.u-tokyo.ac.jp/collection/degitalgallary/ryukyu/item/20111", "https://www.hi.u-tokyo.ac.jp/collection/degitalgallary/ryukyu/item/20111")</f>
        <v/>
      </c>
    </row>
    <row r="505">
      <c r="A505" t="inlineStr">
        <is>
          <t>20112</t>
        </is>
      </c>
      <c r="B505" t="inlineStr">
        <is>
          <t>によは入江ヨリ大湾入江迄、海上拾八里</t>
        </is>
      </c>
      <c r="C505" t="inlineStr">
        <is>
          <t>航路</t>
        </is>
      </c>
      <c r="D505" t="inlineStr"/>
      <c r="E505" t="inlineStr"/>
      <c r="F505" t="inlineStr">
        <is>
          <t>正保琉球国悪鬼納島絵図写</t>
        </is>
      </c>
      <c r="G505" t="inlineStr"/>
      <c r="H505" t="inlineStr"/>
      <c r="I505" t="inlineStr">
        <is>
          <t>47</t>
        </is>
      </c>
      <c r="J505" t="inlineStr"/>
      <c r="K505" t="inlineStr"/>
      <c r="L505" s="1">
        <f>HYPERLINK("https://www.hi.u-tokyo.ac.jp/collection/degitalgallary/ryukyu/item/20112", "https://www.hi.u-tokyo.ac.jp/collection/degitalgallary/ryukyu/item/20112")</f>
        <v/>
      </c>
    </row>
    <row r="506">
      <c r="A506" t="inlineStr">
        <is>
          <t>20113</t>
        </is>
      </c>
      <c r="B506" t="inlineStr">
        <is>
          <t>水な嶋</t>
        </is>
      </c>
      <c r="C506" t="inlineStr">
        <is>
          <t>島</t>
        </is>
      </c>
      <c r="D506" t="inlineStr">
        <is>
          <t>26.6479059</t>
        </is>
      </c>
      <c r="E506" t="inlineStr">
        <is>
          <t>127.8173964</t>
        </is>
      </c>
      <c r="F506" t="inlineStr">
        <is>
          <t>正保琉球国悪鬼納島絵図写</t>
        </is>
      </c>
      <c r="G506" t="inlineStr">
        <is>
          <t>人居なし</t>
        </is>
      </c>
      <c r="H506" t="inlineStr"/>
      <c r="I506" t="inlineStr">
        <is>
          <t>48</t>
        </is>
      </c>
      <c r="J506" t="inlineStr"/>
      <c r="K506" t="inlineStr">
        <is>
          <t>沖縄県国頭郡本部町瀬底</t>
        </is>
      </c>
      <c r="L506" s="1">
        <f>HYPERLINK("https://www.hi.u-tokyo.ac.jp/collection/degitalgallary/ryukyu/item/20113", "https://www.hi.u-tokyo.ac.jp/collection/degitalgallary/ryukyu/item/20113")</f>
        <v/>
      </c>
    </row>
    <row r="507">
      <c r="A507" t="inlineStr">
        <is>
          <t>20114</t>
        </is>
      </c>
      <c r="B507" t="inlineStr">
        <is>
          <t>此間五町</t>
        </is>
      </c>
      <c r="C507" t="inlineStr">
        <is>
          <t>その他</t>
        </is>
      </c>
      <c r="D507" t="inlineStr"/>
      <c r="E507" t="inlineStr"/>
      <c r="F507" t="inlineStr">
        <is>
          <t>正保琉球国悪鬼納島絵図写</t>
        </is>
      </c>
      <c r="G507" t="inlineStr"/>
      <c r="H507" t="inlineStr"/>
      <c r="I507" t="inlineStr">
        <is>
          <t>49</t>
        </is>
      </c>
      <c r="J507" t="inlineStr"/>
      <c r="K507" t="inlineStr"/>
      <c r="L507" s="1">
        <f>HYPERLINK("https://www.hi.u-tokyo.ac.jp/collection/degitalgallary/ryukyu/item/20114", "https://www.hi.u-tokyo.ac.jp/collection/degitalgallary/ryukyu/item/20114")</f>
        <v/>
      </c>
    </row>
    <row r="508">
      <c r="A508" t="inlineStr">
        <is>
          <t>20115</t>
        </is>
      </c>
      <c r="B508" t="inlineStr">
        <is>
          <t>によは入江</t>
        </is>
      </c>
      <c r="C508" t="inlineStr">
        <is>
          <t>港湾</t>
        </is>
      </c>
      <c r="D508" t="inlineStr">
        <is>
          <t>26.6590186</t>
        </is>
      </c>
      <c r="E508" t="inlineStr">
        <is>
          <t>127.8894545</t>
        </is>
      </c>
      <c r="F508" t="inlineStr">
        <is>
          <t>正保琉球国悪鬼納島絵図写</t>
        </is>
      </c>
      <c r="G508" t="inlineStr">
        <is>
          <t>一、此によは入江左右干瀬之間、壱町五十間、深さ五尋
一、何風ニ而も船繋り不自由</t>
        </is>
      </c>
      <c r="H508" t="inlineStr"/>
      <c r="I508" t="inlineStr">
        <is>
          <t>50</t>
        </is>
      </c>
      <c r="J508" t="inlineStr"/>
      <c r="K508" t="inlineStr">
        <is>
          <t>沖縄県国頭郡本部町谷茶</t>
        </is>
      </c>
      <c r="L508" s="1">
        <f>HYPERLINK("https://www.hi.u-tokyo.ac.jp/collection/degitalgallary/ryukyu/item/20115", "https://www.hi.u-tokyo.ac.jp/collection/degitalgallary/ryukyu/item/20115")</f>
        <v/>
      </c>
    </row>
    <row r="509">
      <c r="A509" t="inlineStr">
        <is>
          <t>20116</t>
        </is>
      </c>
      <c r="B509" t="inlineStr">
        <is>
          <t>満汐時ニ舟渡り</t>
        </is>
      </c>
      <c r="C509" t="inlineStr">
        <is>
          <t>渡河点</t>
        </is>
      </c>
      <c r="D509" t="inlineStr"/>
      <c r="E509" t="inlineStr"/>
      <c r="F509" t="inlineStr">
        <is>
          <t>正保琉球国悪鬼納島絵図写</t>
        </is>
      </c>
      <c r="G509" t="inlineStr"/>
      <c r="H509" t="inlineStr"/>
      <c r="I509" t="inlineStr">
        <is>
          <t>51</t>
        </is>
      </c>
      <c r="J509" t="inlineStr"/>
      <c r="K509" t="inlineStr"/>
      <c r="L509" s="1">
        <f>HYPERLINK("https://www.hi.u-tokyo.ac.jp/collection/degitalgallary/ryukyu/item/20116", "https://www.hi.u-tokyo.ac.jp/collection/degitalgallary/ryukyu/item/20116")</f>
        <v/>
      </c>
    </row>
    <row r="510">
      <c r="A510" t="inlineStr">
        <is>
          <t>20117</t>
        </is>
      </c>
      <c r="B510" t="inlineStr">
        <is>
          <t>遠干潟</t>
        </is>
      </c>
      <c r="C510" t="inlineStr">
        <is>
          <t>干瀬</t>
        </is>
      </c>
      <c r="D510" t="inlineStr">
        <is>
          <t>26.6620919</t>
        </is>
      </c>
      <c r="E510" t="inlineStr">
        <is>
          <t>127.9002212</t>
        </is>
      </c>
      <c r="F510" t="inlineStr">
        <is>
          <t>正保琉球国悪鬼納島絵図写</t>
        </is>
      </c>
      <c r="G510" t="inlineStr"/>
      <c r="H510" t="inlineStr"/>
      <c r="I510" t="inlineStr">
        <is>
          <t>52</t>
        </is>
      </c>
      <c r="J510" t="inlineStr"/>
      <c r="K510" t="inlineStr">
        <is>
          <t>沖縄県国頭郡本部町渡久地</t>
        </is>
      </c>
      <c r="L510" s="1">
        <f>HYPERLINK("https://www.hi.u-tokyo.ac.jp/collection/degitalgallary/ryukyu/item/20117", "https://www.hi.u-tokyo.ac.jp/collection/degitalgallary/ryukyu/item/20117")</f>
        <v/>
      </c>
    </row>
    <row r="511">
      <c r="A511" t="inlineStr">
        <is>
          <t>20118</t>
        </is>
      </c>
      <c r="B511" t="inlineStr">
        <is>
          <t>びし崎</t>
        </is>
      </c>
      <c r="C511" t="inlineStr">
        <is>
          <t>崎</t>
        </is>
      </c>
      <c r="D511" t="inlineStr">
        <is>
          <t>26.711975</t>
        </is>
      </c>
      <c r="E511" t="inlineStr">
        <is>
          <t>127.876916</t>
        </is>
      </c>
      <c r="F511" t="inlineStr">
        <is>
          <t>正保琉球国悪鬼納島絵図写</t>
        </is>
      </c>
      <c r="G511" t="inlineStr"/>
      <c r="H511" t="inlineStr"/>
      <c r="I511" t="inlineStr">
        <is>
          <t>53</t>
        </is>
      </c>
      <c r="J511" t="inlineStr"/>
      <c r="K511" t="inlineStr">
        <is>
          <t>沖縄県国頭郡本部町備瀬</t>
        </is>
      </c>
      <c r="L511" s="1">
        <f>HYPERLINK("https://www.hi.u-tokyo.ac.jp/collection/degitalgallary/ryukyu/item/20118", "https://www.hi.u-tokyo.ac.jp/collection/degitalgallary/ryukyu/item/20118")</f>
        <v/>
      </c>
    </row>
    <row r="512">
      <c r="A512" t="inlineStr">
        <is>
          <t>20119</t>
        </is>
      </c>
      <c r="B512" t="inlineStr">
        <is>
          <t>干潟</t>
        </is>
      </c>
      <c r="C512" t="inlineStr">
        <is>
          <t>干瀬</t>
        </is>
      </c>
      <c r="D512" t="inlineStr"/>
      <c r="E512" t="inlineStr"/>
      <c r="F512" t="inlineStr">
        <is>
          <t>正保琉球国悪鬼納島絵図写</t>
        </is>
      </c>
      <c r="G512" t="inlineStr"/>
      <c r="H512" t="inlineStr"/>
      <c r="I512" t="inlineStr">
        <is>
          <t>54</t>
        </is>
      </c>
      <c r="J512" t="inlineStr"/>
      <c r="K512" t="inlineStr"/>
      <c r="L512" s="1">
        <f>HYPERLINK("https://www.hi.u-tokyo.ac.jp/collection/degitalgallary/ryukyu/item/20119", "https://www.hi.u-tokyo.ac.jp/collection/degitalgallary/ryukyu/item/20119")</f>
        <v/>
      </c>
    </row>
    <row r="513">
      <c r="A513" t="inlineStr">
        <is>
          <t>20120</t>
        </is>
      </c>
      <c r="B513" t="inlineStr">
        <is>
          <t>運天湊ヨリによは入江迄、海上五里</t>
        </is>
      </c>
      <c r="C513" t="inlineStr">
        <is>
          <t>航路</t>
        </is>
      </c>
      <c r="D513" t="inlineStr"/>
      <c r="E513" t="inlineStr"/>
      <c r="F513" t="inlineStr">
        <is>
          <t>正保琉球国悪鬼納島絵図写</t>
        </is>
      </c>
      <c r="G513" t="inlineStr"/>
      <c r="H513" t="inlineStr"/>
      <c r="I513" t="inlineStr">
        <is>
          <t>55</t>
        </is>
      </c>
      <c r="J513" t="inlineStr"/>
      <c r="K513" t="inlineStr"/>
      <c r="L513" s="1">
        <f>HYPERLINK("https://www.hi.u-tokyo.ac.jp/collection/degitalgallary/ryukyu/item/20120", "https://www.hi.u-tokyo.ac.jp/collection/degitalgallary/ryukyu/item/20120")</f>
        <v/>
      </c>
    </row>
    <row r="514">
      <c r="A514" t="inlineStr">
        <is>
          <t>20121</t>
        </is>
      </c>
      <c r="B514" t="inlineStr">
        <is>
          <t>歩渡り</t>
        </is>
      </c>
      <c r="C514" t="inlineStr">
        <is>
          <t>渡河点</t>
        </is>
      </c>
      <c r="D514" t="inlineStr"/>
      <c r="E514" t="inlineStr"/>
      <c r="F514" t="inlineStr">
        <is>
          <t>正保琉球国悪鬼納島絵図写</t>
        </is>
      </c>
      <c r="G514" t="inlineStr"/>
      <c r="H514" t="inlineStr"/>
      <c r="I514" t="inlineStr">
        <is>
          <t>56</t>
        </is>
      </c>
      <c r="J514" t="inlineStr"/>
      <c r="K514" t="inlineStr"/>
      <c r="L514" s="1">
        <f>HYPERLINK("https://www.hi.u-tokyo.ac.jp/collection/degitalgallary/ryukyu/item/20121", "https://www.hi.u-tokyo.ac.jp/collection/degitalgallary/ryukyu/item/20121")</f>
        <v/>
      </c>
    </row>
    <row r="515">
      <c r="A515" t="inlineStr">
        <is>
          <t>20122</t>
        </is>
      </c>
      <c r="B515" t="inlineStr">
        <is>
          <t>運天湊</t>
        </is>
      </c>
      <c r="C515" t="inlineStr">
        <is>
          <t>港湾</t>
        </is>
      </c>
      <c r="D515" t="inlineStr">
        <is>
          <t>26.6778142</t>
        </is>
      </c>
      <c r="E515" t="inlineStr">
        <is>
          <t>127.9969266</t>
        </is>
      </c>
      <c r="F515" t="inlineStr">
        <is>
          <t>正保琉球国悪鬼納島絵図写</t>
        </is>
      </c>
      <c r="G515" t="inlineStr">
        <is>
          <t>一、此運天湊、広さ弐町、入壱里廿七町、深さ廿尋
一、大船五六拾艘程繋ル
一、何風ニ而も船繋リ自由</t>
        </is>
      </c>
      <c r="H515" t="inlineStr"/>
      <c r="I515" t="inlineStr">
        <is>
          <t>57</t>
        </is>
      </c>
      <c r="J515" t="inlineStr"/>
      <c r="K515" t="inlineStr">
        <is>
          <t>沖縄県国頭郡今帰仁村上運天</t>
        </is>
      </c>
      <c r="L515" s="1">
        <f>HYPERLINK("https://www.hi.u-tokyo.ac.jp/collection/degitalgallary/ryukyu/item/20122", "https://www.hi.u-tokyo.ac.jp/collection/degitalgallary/ryukyu/item/20122")</f>
        <v/>
      </c>
    </row>
    <row r="516">
      <c r="A516" t="inlineStr">
        <is>
          <t>20123</t>
        </is>
      </c>
      <c r="B516" t="inlineStr">
        <is>
          <t>やが嶋</t>
        </is>
      </c>
      <c r="C516" t="inlineStr">
        <is>
          <t>島</t>
        </is>
      </c>
      <c r="D516" t="inlineStr">
        <is>
          <t>26.6705839</t>
        </is>
      </c>
      <c r="E516" t="inlineStr">
        <is>
          <t>128.015522</t>
        </is>
      </c>
      <c r="F516" t="inlineStr">
        <is>
          <t>正保琉球国悪鬼納島絵図写</t>
        </is>
      </c>
      <c r="G516" t="inlineStr">
        <is>
          <t>嶋廻二里</t>
        </is>
      </c>
      <c r="H516" t="inlineStr"/>
      <c r="I516" t="inlineStr">
        <is>
          <t>58</t>
        </is>
      </c>
      <c r="J516" t="inlineStr"/>
      <c r="K516" t="inlineStr">
        <is>
          <t>沖縄県名護市済井出</t>
        </is>
      </c>
      <c r="L516" s="1">
        <f>HYPERLINK("https://www.hi.u-tokyo.ac.jp/collection/degitalgallary/ryukyu/item/20123", "https://www.hi.u-tokyo.ac.jp/collection/degitalgallary/ryukyu/item/20123")</f>
        <v/>
      </c>
    </row>
    <row r="517">
      <c r="A517" t="inlineStr">
        <is>
          <t>20124</t>
        </is>
      </c>
      <c r="B517" t="inlineStr">
        <is>
          <t>此間十四町</t>
        </is>
      </c>
      <c r="C517" t="inlineStr">
        <is>
          <t>その他</t>
        </is>
      </c>
      <c r="D517" t="inlineStr"/>
      <c r="E517" t="inlineStr"/>
      <c r="F517" t="inlineStr">
        <is>
          <t>正保琉球国悪鬼納島絵図写</t>
        </is>
      </c>
      <c r="G517" t="inlineStr"/>
      <c r="H517" t="inlineStr"/>
      <c r="I517" t="inlineStr">
        <is>
          <t>59</t>
        </is>
      </c>
      <c r="J517" t="inlineStr"/>
      <c r="K517" t="inlineStr"/>
      <c r="L517" s="1">
        <f>HYPERLINK("https://www.hi.u-tokyo.ac.jp/collection/degitalgallary/ryukyu/item/20124", "https://www.hi.u-tokyo.ac.jp/collection/degitalgallary/ryukyu/item/20124")</f>
        <v/>
      </c>
    </row>
    <row r="518">
      <c r="A518" t="inlineStr">
        <is>
          <t>20125</t>
        </is>
      </c>
      <c r="B518" t="inlineStr">
        <is>
          <t>異国船遠見番所</t>
        </is>
      </c>
      <c r="C518" t="inlineStr">
        <is>
          <t>その他</t>
        </is>
      </c>
      <c r="D518" t="inlineStr"/>
      <c r="E518" t="inlineStr"/>
      <c r="F518" t="inlineStr">
        <is>
          <t>正保琉球国悪鬼納島絵図写</t>
        </is>
      </c>
      <c r="G518" t="inlineStr"/>
      <c r="H518" t="inlineStr"/>
      <c r="I518" t="inlineStr">
        <is>
          <t>60</t>
        </is>
      </c>
      <c r="J518" t="inlineStr"/>
      <c r="K518" t="inlineStr"/>
      <c r="L518" s="1">
        <f>HYPERLINK("https://www.hi.u-tokyo.ac.jp/collection/degitalgallary/ryukyu/item/20125", "https://www.hi.u-tokyo.ac.jp/collection/degitalgallary/ryukyu/item/20125")</f>
        <v/>
      </c>
    </row>
    <row r="519">
      <c r="A519" t="inlineStr">
        <is>
          <t>20126</t>
        </is>
      </c>
      <c r="B519" t="inlineStr">
        <is>
          <t>によは入江ヨリ伊恵那嶋迄、海上弐里</t>
        </is>
      </c>
      <c r="C519" t="inlineStr">
        <is>
          <t>航路</t>
        </is>
      </c>
      <c r="D519" t="inlineStr"/>
      <c r="E519" t="inlineStr"/>
      <c r="F519" t="inlineStr">
        <is>
          <t>正保琉球国悪鬼納島絵図写</t>
        </is>
      </c>
      <c r="G519" t="inlineStr"/>
      <c r="H519" t="inlineStr"/>
      <c r="I519" t="inlineStr">
        <is>
          <t>61</t>
        </is>
      </c>
      <c r="J519" t="inlineStr"/>
      <c r="K519" t="inlineStr"/>
      <c r="L519" s="1">
        <f>HYPERLINK("https://www.hi.u-tokyo.ac.jp/collection/degitalgallary/ryukyu/item/20126", "https://www.hi.u-tokyo.ac.jp/collection/degitalgallary/ryukyu/item/20126")</f>
        <v/>
      </c>
    </row>
    <row r="520">
      <c r="A520" t="inlineStr">
        <is>
          <t>20127</t>
        </is>
      </c>
      <c r="B520" t="inlineStr">
        <is>
          <t>船かゝり不成</t>
        </is>
      </c>
      <c r="C520" t="inlineStr">
        <is>
          <t>港湾</t>
        </is>
      </c>
      <c r="D520" t="inlineStr"/>
      <c r="E520" t="inlineStr"/>
      <c r="F520" t="inlineStr">
        <is>
          <t>正保琉球国悪鬼納島絵図写</t>
        </is>
      </c>
      <c r="G520" t="inlineStr"/>
      <c r="H520" t="inlineStr"/>
      <c r="I520" t="inlineStr">
        <is>
          <t>62</t>
        </is>
      </c>
      <c r="J520" t="inlineStr"/>
      <c r="K520" t="inlineStr"/>
      <c r="L520" s="1">
        <f>HYPERLINK("https://www.hi.u-tokyo.ac.jp/collection/degitalgallary/ryukyu/item/20127", "https://www.hi.u-tokyo.ac.jp/collection/degitalgallary/ryukyu/item/20127")</f>
        <v/>
      </c>
    </row>
    <row r="521">
      <c r="A521" t="inlineStr">
        <is>
          <t>20128</t>
        </is>
      </c>
      <c r="B521" t="inlineStr">
        <is>
          <t>なかひせ</t>
        </is>
      </c>
      <c r="C521" t="inlineStr">
        <is>
          <t>干瀬</t>
        </is>
      </c>
      <c r="D521" t="inlineStr"/>
      <c r="E521" t="inlineStr"/>
      <c r="F521" t="inlineStr">
        <is>
          <t>正保琉球国悪鬼納島絵図写</t>
        </is>
      </c>
      <c r="G521" t="inlineStr"/>
      <c r="H521" t="inlineStr"/>
      <c r="I521" t="inlineStr">
        <is>
          <t>63</t>
        </is>
      </c>
      <c r="J521" t="inlineStr"/>
      <c r="K521" t="inlineStr"/>
      <c r="L521" s="1">
        <f>HYPERLINK("https://www.hi.u-tokyo.ac.jp/collection/degitalgallary/ryukyu/item/20128", "https://www.hi.u-tokyo.ac.jp/collection/degitalgallary/ryukyu/item/20128")</f>
        <v/>
      </c>
    </row>
    <row r="522">
      <c r="A522" t="inlineStr">
        <is>
          <t>20129</t>
        </is>
      </c>
      <c r="B522" t="inlineStr">
        <is>
          <t>なかひせ</t>
        </is>
      </c>
      <c r="C522" t="inlineStr">
        <is>
          <t>干瀬</t>
        </is>
      </c>
      <c r="D522" t="inlineStr"/>
      <c r="E522" t="inlineStr"/>
      <c r="F522" t="inlineStr">
        <is>
          <t>正保琉球国悪鬼納島絵図写</t>
        </is>
      </c>
      <c r="G522" t="inlineStr"/>
      <c r="H522" t="inlineStr"/>
      <c r="I522" t="inlineStr">
        <is>
          <t>64</t>
        </is>
      </c>
      <c r="J522" t="inlineStr"/>
      <c r="K522" t="inlineStr"/>
      <c r="L522" s="1">
        <f>HYPERLINK("https://www.hi.u-tokyo.ac.jp/collection/degitalgallary/ryukyu/item/20129", "https://www.hi.u-tokyo.ac.jp/collection/degitalgallary/ryukyu/item/20129")</f>
        <v/>
      </c>
    </row>
    <row r="523">
      <c r="A523" t="inlineStr">
        <is>
          <t>20130</t>
        </is>
      </c>
      <c r="B523" t="inlineStr">
        <is>
          <t>中干瀬</t>
        </is>
      </c>
      <c r="C523" t="inlineStr">
        <is>
          <t>干瀬</t>
        </is>
      </c>
      <c r="D523" t="inlineStr"/>
      <c r="E523" t="inlineStr"/>
      <c r="F523" t="inlineStr">
        <is>
          <t>正保琉球国悪鬼納島絵図写</t>
        </is>
      </c>
      <c r="G523" t="inlineStr"/>
      <c r="H523" t="inlineStr"/>
      <c r="I523" t="inlineStr">
        <is>
          <t>65</t>
        </is>
      </c>
      <c r="J523" t="inlineStr"/>
      <c r="K523" t="inlineStr"/>
      <c r="L523" s="1">
        <f>HYPERLINK("https://www.hi.u-tokyo.ac.jp/collection/degitalgallary/ryukyu/item/20130", "https://www.hi.u-tokyo.ac.jp/collection/degitalgallary/ryukyu/item/20130")</f>
        <v/>
      </c>
    </row>
    <row r="524">
      <c r="A524" t="inlineStr">
        <is>
          <t>20131</t>
        </is>
      </c>
      <c r="B524" t="inlineStr">
        <is>
          <t>歩渡り</t>
        </is>
      </c>
      <c r="C524" t="inlineStr">
        <is>
          <t>渡河点</t>
        </is>
      </c>
      <c r="D524" t="inlineStr"/>
      <c r="E524" t="inlineStr"/>
      <c r="F524" t="inlineStr">
        <is>
          <t>正保琉球国悪鬼納島絵図写</t>
        </is>
      </c>
      <c r="G524" t="inlineStr"/>
      <c r="H524" t="inlineStr"/>
      <c r="I524" t="inlineStr">
        <is>
          <t>66</t>
        </is>
      </c>
      <c r="J524" t="inlineStr"/>
      <c r="K524" t="inlineStr"/>
      <c r="L524" s="1">
        <f>HYPERLINK("https://www.hi.u-tokyo.ac.jp/collection/degitalgallary/ryukyu/item/20131", "https://www.hi.u-tokyo.ac.jp/collection/degitalgallary/ryukyu/item/20131")</f>
        <v/>
      </c>
    </row>
    <row r="525">
      <c r="A525" t="inlineStr">
        <is>
          <t>20132</t>
        </is>
      </c>
      <c r="B525" t="inlineStr">
        <is>
          <t>こちや崎</t>
        </is>
      </c>
      <c r="C525" t="inlineStr">
        <is>
          <t>崎</t>
        </is>
      </c>
      <c r="D525" t="inlineStr"/>
      <c r="E525" t="inlineStr"/>
      <c r="F525" t="inlineStr">
        <is>
          <t>正保琉球国悪鬼納島絵図写</t>
        </is>
      </c>
      <c r="G525" t="inlineStr"/>
      <c r="H525" t="inlineStr"/>
      <c r="I525" t="inlineStr">
        <is>
          <t>67</t>
        </is>
      </c>
      <c r="J525" t="inlineStr"/>
      <c r="K525" t="inlineStr"/>
      <c r="L525" s="1">
        <f>HYPERLINK("https://www.hi.u-tokyo.ac.jp/collection/degitalgallary/ryukyu/item/20132", "https://www.hi.u-tokyo.ac.jp/collection/degitalgallary/ryukyu/item/20132")</f>
        <v/>
      </c>
    </row>
    <row r="526">
      <c r="A526" t="inlineStr">
        <is>
          <t>20133</t>
        </is>
      </c>
      <c r="B526" t="inlineStr">
        <is>
          <t>歩渡り</t>
        </is>
      </c>
      <c r="C526" t="inlineStr">
        <is>
          <t>渡河点</t>
        </is>
      </c>
      <c r="D526" t="inlineStr"/>
      <c r="E526" t="inlineStr"/>
      <c r="F526" t="inlineStr">
        <is>
          <t>正保琉球国悪鬼納島絵図写</t>
        </is>
      </c>
      <c r="G526" t="inlineStr"/>
      <c r="H526" t="inlineStr"/>
      <c r="I526" t="inlineStr">
        <is>
          <t>68</t>
        </is>
      </c>
      <c r="J526" t="inlineStr"/>
      <c r="K526" t="inlineStr"/>
      <c r="L526" s="1">
        <f>HYPERLINK("https://www.hi.u-tokyo.ac.jp/collection/degitalgallary/ryukyu/item/20133", "https://www.hi.u-tokyo.ac.jp/collection/degitalgallary/ryukyu/item/20133")</f>
        <v/>
      </c>
    </row>
    <row r="527">
      <c r="A527" t="inlineStr">
        <is>
          <t>20134</t>
        </is>
      </c>
      <c r="B527" t="inlineStr">
        <is>
          <t>ぎのさ崎</t>
        </is>
      </c>
      <c r="C527" t="inlineStr">
        <is>
          <t>崎</t>
        </is>
      </c>
      <c r="D527" t="inlineStr">
        <is>
          <t>26.475380</t>
        </is>
      </c>
      <c r="E527" t="inlineStr">
        <is>
          <t>127.990685</t>
        </is>
      </c>
      <c r="F527" t="inlineStr">
        <is>
          <t>正保琉球国悪鬼納島絵図写</t>
        </is>
      </c>
      <c r="G527" t="inlineStr"/>
      <c r="H527" t="inlineStr"/>
      <c r="I527" t="inlineStr">
        <is>
          <t>69</t>
        </is>
      </c>
      <c r="J527" t="inlineStr"/>
      <c r="K527" t="inlineStr">
        <is>
          <t>沖縄県国頭郡宜野座村宜野座</t>
        </is>
      </c>
      <c r="L527" s="1">
        <f>HYPERLINK("https://www.hi.u-tokyo.ac.jp/collection/degitalgallary/ryukyu/item/20134", "https://www.hi.u-tokyo.ac.jp/collection/degitalgallary/ryukyu/item/20134")</f>
        <v/>
      </c>
    </row>
    <row r="528">
      <c r="A528" t="inlineStr">
        <is>
          <t>20135</t>
        </is>
      </c>
      <c r="B528" t="inlineStr">
        <is>
          <t>歩渡り</t>
        </is>
      </c>
      <c r="C528" t="inlineStr">
        <is>
          <t>渡河点</t>
        </is>
      </c>
      <c r="D528" t="inlineStr"/>
      <c r="E528" t="inlineStr"/>
      <c r="F528" t="inlineStr">
        <is>
          <t>正保琉球国悪鬼納島絵図写</t>
        </is>
      </c>
      <c r="G528" t="inlineStr"/>
      <c r="H528" t="inlineStr"/>
      <c r="I528" t="inlineStr">
        <is>
          <t>70</t>
        </is>
      </c>
      <c r="J528" t="inlineStr"/>
      <c r="K528" t="inlineStr"/>
      <c r="L528" s="1">
        <f>HYPERLINK("https://www.hi.u-tokyo.ac.jp/collection/degitalgallary/ryukyu/item/20135", "https://www.hi.u-tokyo.ac.jp/collection/degitalgallary/ryukyu/item/20135")</f>
        <v/>
      </c>
    </row>
    <row r="529">
      <c r="A529" t="inlineStr">
        <is>
          <t>20136</t>
        </is>
      </c>
      <c r="B529" t="inlineStr">
        <is>
          <t>歩渡り</t>
        </is>
      </c>
      <c r="C529" t="inlineStr">
        <is>
          <t>渡河点</t>
        </is>
      </c>
      <c r="D529" t="inlineStr"/>
      <c r="E529" t="inlineStr"/>
      <c r="F529" t="inlineStr">
        <is>
          <t>正保琉球国悪鬼納島絵図写</t>
        </is>
      </c>
      <c r="G529" t="inlineStr"/>
      <c r="H529" t="inlineStr"/>
      <c r="I529" t="inlineStr">
        <is>
          <t>71</t>
        </is>
      </c>
      <c r="J529" t="inlineStr"/>
      <c r="K529" t="inlineStr"/>
      <c r="L529" s="1">
        <f>HYPERLINK("https://www.hi.u-tokyo.ac.jp/collection/degitalgallary/ryukyu/item/20136", "https://www.hi.u-tokyo.ac.jp/collection/degitalgallary/ryukyu/item/20136")</f>
        <v/>
      </c>
    </row>
    <row r="530">
      <c r="A530" t="inlineStr">
        <is>
          <t>20137</t>
        </is>
      </c>
      <c r="B530" t="inlineStr">
        <is>
          <t>きん崎</t>
        </is>
      </c>
      <c r="C530" t="inlineStr">
        <is>
          <t>崎</t>
        </is>
      </c>
      <c r="D530" t="inlineStr">
        <is>
          <t>26.4400167</t>
        </is>
      </c>
      <c r="E530" t="inlineStr">
        <is>
          <t>127.9488949</t>
        </is>
      </c>
      <c r="F530" t="inlineStr">
        <is>
          <t>正保琉球国悪鬼納島絵図写</t>
        </is>
      </c>
      <c r="G530" t="inlineStr"/>
      <c r="H530" t="inlineStr"/>
      <c r="I530" t="inlineStr">
        <is>
          <t>72</t>
        </is>
      </c>
      <c r="J530" t="inlineStr"/>
      <c r="K530" t="inlineStr">
        <is>
          <t>沖縄県国頭郡金武町金武</t>
        </is>
      </c>
      <c r="L530" s="1">
        <f>HYPERLINK("https://www.hi.u-tokyo.ac.jp/collection/degitalgallary/ryukyu/item/20137", "https://www.hi.u-tokyo.ac.jp/collection/degitalgallary/ryukyu/item/20137")</f>
        <v/>
      </c>
    </row>
    <row r="531">
      <c r="A531" t="inlineStr">
        <is>
          <t>20138</t>
        </is>
      </c>
      <c r="B531" t="inlineStr">
        <is>
          <t>遠干潟</t>
        </is>
      </c>
      <c r="C531" t="inlineStr">
        <is>
          <t>干瀬</t>
        </is>
      </c>
      <c r="D531" t="inlineStr"/>
      <c r="E531" t="inlineStr"/>
      <c r="F531" t="inlineStr">
        <is>
          <t>正保琉球国悪鬼納島絵図写</t>
        </is>
      </c>
      <c r="G531" t="inlineStr"/>
      <c r="H531" t="inlineStr"/>
      <c r="I531" t="inlineStr">
        <is>
          <t>73</t>
        </is>
      </c>
      <c r="J531" t="inlineStr"/>
      <c r="K531" t="inlineStr"/>
      <c r="L531" s="1">
        <f>HYPERLINK("https://www.hi.u-tokyo.ac.jp/collection/degitalgallary/ryukyu/item/20138", "https://www.hi.u-tokyo.ac.jp/collection/degitalgallary/ryukyu/item/20138")</f>
        <v/>
      </c>
    </row>
    <row r="532">
      <c r="A532" t="inlineStr">
        <is>
          <t>20139</t>
        </is>
      </c>
      <c r="B532" t="inlineStr">
        <is>
          <t>おんな崎</t>
        </is>
      </c>
      <c r="C532" t="inlineStr">
        <is>
          <t>崎</t>
        </is>
      </c>
      <c r="D532" t="inlineStr">
        <is>
          <t>26.504552</t>
        </is>
      </c>
      <c r="E532" t="inlineStr">
        <is>
          <t>127.845431</t>
        </is>
      </c>
      <c r="F532" t="inlineStr">
        <is>
          <t>正保琉球国悪鬼納島絵図写</t>
        </is>
      </c>
      <c r="G532" t="inlineStr"/>
      <c r="H532" t="inlineStr"/>
      <c r="I532" t="inlineStr">
        <is>
          <t>74</t>
        </is>
      </c>
      <c r="J532" t="inlineStr"/>
      <c r="K532" t="inlineStr">
        <is>
          <t>沖縄県国頭郡恩納村恩納</t>
        </is>
      </c>
      <c r="L532" s="1">
        <f>HYPERLINK("https://www.hi.u-tokyo.ac.jp/collection/degitalgallary/ryukyu/item/20139", "https://www.hi.u-tokyo.ac.jp/collection/degitalgallary/ryukyu/item/20139")</f>
        <v/>
      </c>
    </row>
    <row r="533">
      <c r="A533" t="inlineStr">
        <is>
          <t>20140</t>
        </is>
      </c>
      <c r="B533" t="inlineStr">
        <is>
          <t>前田崎</t>
        </is>
      </c>
      <c r="C533" t="inlineStr">
        <is>
          <t>崎</t>
        </is>
      </c>
      <c r="D533" t="inlineStr">
        <is>
          <t>26.445481</t>
        </is>
      </c>
      <c r="E533" t="inlineStr">
        <is>
          <t>127.771342</t>
        </is>
      </c>
      <c r="F533" t="inlineStr">
        <is>
          <t>正保琉球国悪鬼納島絵図写</t>
        </is>
      </c>
      <c r="G533" t="inlineStr"/>
      <c r="H533" t="inlineStr"/>
      <c r="I533" t="inlineStr">
        <is>
          <t>75</t>
        </is>
      </c>
      <c r="J533" t="inlineStr"/>
      <c r="K533" t="inlineStr">
        <is>
          <t>沖縄県国頭郡恩納村真栄田</t>
        </is>
      </c>
      <c r="L533" s="1">
        <f>HYPERLINK("https://www.hi.u-tokyo.ac.jp/collection/degitalgallary/ryukyu/item/20140", "https://www.hi.u-tokyo.ac.jp/collection/degitalgallary/ryukyu/item/20140")</f>
        <v/>
      </c>
    </row>
    <row r="534">
      <c r="A534" t="inlineStr">
        <is>
          <t>20141</t>
        </is>
      </c>
      <c r="B534" t="inlineStr">
        <is>
          <t>おにし崎</t>
        </is>
      </c>
      <c r="C534" t="inlineStr">
        <is>
          <t>崎</t>
        </is>
      </c>
      <c r="D534" t="inlineStr">
        <is>
          <t>26.4414306</t>
        </is>
      </c>
      <c r="E534" t="inlineStr">
        <is>
          <t>127.7137645</t>
        </is>
      </c>
      <c r="F534" t="inlineStr">
        <is>
          <t>正保琉球国悪鬼納島絵図写</t>
        </is>
      </c>
      <c r="G534" t="inlineStr"/>
      <c r="H534" t="inlineStr"/>
      <c r="I534" t="inlineStr">
        <is>
          <t>76</t>
        </is>
      </c>
      <c r="J534" t="inlineStr"/>
      <c r="K534" t="inlineStr">
        <is>
          <t>沖縄県中頭郡読谷村宇座</t>
        </is>
      </c>
      <c r="L534" s="1">
        <f>HYPERLINK("https://www.hi.u-tokyo.ac.jp/collection/degitalgallary/ryukyu/item/20141", "https://www.hi.u-tokyo.ac.jp/collection/degitalgallary/ryukyu/item/20141")</f>
        <v/>
      </c>
    </row>
    <row r="535">
      <c r="A535" t="inlineStr">
        <is>
          <t>20142</t>
        </is>
      </c>
      <c r="B535" t="inlineStr">
        <is>
          <t>悪鬼納嶋
高六万弐千百九拾九石
嶋廻七拾四里</t>
        </is>
      </c>
      <c r="C535" t="inlineStr">
        <is>
          <t>島</t>
        </is>
      </c>
      <c r="D535" t="inlineStr"/>
      <c r="E535" t="inlineStr"/>
      <c r="F535" t="inlineStr">
        <is>
          <t>正保琉球国悪鬼納島絵図写</t>
        </is>
      </c>
      <c r="G535" t="inlineStr"/>
      <c r="H535" t="inlineStr"/>
      <c r="I535" t="inlineStr">
        <is>
          <t>77</t>
        </is>
      </c>
      <c r="J535" t="inlineStr"/>
      <c r="K535" t="inlineStr"/>
      <c r="L535" s="1">
        <f>HYPERLINK("https://www.hi.u-tokyo.ac.jp/collection/degitalgallary/ryukyu/item/20142", "https://www.hi.u-tokyo.ac.jp/collection/degitalgallary/ryukyu/item/20142")</f>
        <v/>
      </c>
    </row>
    <row r="536">
      <c r="A536" t="inlineStr">
        <is>
          <t>20143</t>
        </is>
      </c>
      <c r="B536" t="inlineStr">
        <is>
          <t>橋有</t>
        </is>
      </c>
      <c r="C536" t="inlineStr">
        <is>
          <t>渡河点</t>
        </is>
      </c>
      <c r="D536" t="inlineStr"/>
      <c r="E536" t="inlineStr"/>
      <c r="F536" t="inlineStr">
        <is>
          <t>正保琉球国悪鬼納島絵図写</t>
        </is>
      </c>
      <c r="G536" t="inlineStr"/>
      <c r="H536" t="inlineStr"/>
      <c r="I536" t="inlineStr">
        <is>
          <t>78</t>
        </is>
      </c>
      <c r="J536" t="inlineStr"/>
      <c r="K536" t="inlineStr"/>
      <c r="L536" s="1">
        <f>HYPERLINK("https://www.hi.u-tokyo.ac.jp/collection/degitalgallary/ryukyu/item/20143", "https://www.hi.u-tokyo.ac.jp/collection/degitalgallary/ryukyu/item/20143")</f>
        <v/>
      </c>
    </row>
    <row r="537">
      <c r="A537" t="inlineStr">
        <is>
          <t>20144</t>
        </is>
      </c>
      <c r="B537" t="inlineStr">
        <is>
          <t>橋有</t>
        </is>
      </c>
      <c r="C537" t="inlineStr">
        <is>
          <t>渡河点</t>
        </is>
      </c>
      <c r="D537" t="inlineStr"/>
      <c r="E537" t="inlineStr"/>
      <c r="F537" t="inlineStr">
        <is>
          <t>正保琉球国悪鬼納島絵図写</t>
        </is>
      </c>
      <c r="G537" t="inlineStr"/>
      <c r="H537" t="inlineStr"/>
      <c r="I537" t="inlineStr">
        <is>
          <t>79</t>
        </is>
      </c>
      <c r="J537" t="inlineStr"/>
      <c r="K537" t="inlineStr"/>
      <c r="L537" s="1">
        <f>HYPERLINK("https://www.hi.u-tokyo.ac.jp/collection/degitalgallary/ryukyu/item/20144", "https://www.hi.u-tokyo.ac.jp/collection/degitalgallary/ryukyu/item/20144")</f>
        <v/>
      </c>
    </row>
    <row r="538">
      <c r="A538" t="inlineStr">
        <is>
          <t>20145</t>
        </is>
      </c>
      <c r="B538" t="inlineStr">
        <is>
          <t>大湾入江</t>
        </is>
      </c>
      <c r="C538" t="inlineStr">
        <is>
          <t>港湾</t>
        </is>
      </c>
      <c r="D538" t="inlineStr">
        <is>
          <t>26.362301</t>
        </is>
      </c>
      <c r="E538" t="inlineStr">
        <is>
          <t>127.7402355</t>
        </is>
      </c>
      <c r="F538" t="inlineStr">
        <is>
          <t>正保琉球国悪鬼納島絵図写</t>
        </is>
      </c>
      <c r="G538" t="inlineStr">
        <is>
          <t>一、此大湾入江、広さ壱町、深さ三尋
一、大船五六艘程繋ル
一、東風南風西風之時船かゝり不成、</t>
        </is>
      </c>
      <c r="H538" t="inlineStr"/>
      <c r="I538" t="inlineStr">
        <is>
          <t>80</t>
        </is>
      </c>
      <c r="J538" t="inlineStr"/>
      <c r="K538" t="inlineStr">
        <is>
          <t>沖縄県中頭郡嘉手納町水釜</t>
        </is>
      </c>
      <c r="L538" s="1">
        <f>HYPERLINK("https://www.hi.u-tokyo.ac.jp/collection/degitalgallary/ryukyu/item/20145", "https://www.hi.u-tokyo.ac.jp/collection/degitalgallary/ryukyu/item/20145")</f>
        <v/>
      </c>
    </row>
    <row r="539">
      <c r="A539" t="inlineStr">
        <is>
          <t>20146</t>
        </is>
      </c>
      <c r="B539" t="inlineStr">
        <is>
          <t>大湾入江ヨリ那覇湊迄海上五里</t>
        </is>
      </c>
      <c r="C539" t="inlineStr">
        <is>
          <t>航路</t>
        </is>
      </c>
      <c r="D539" t="inlineStr"/>
      <c r="E539" t="inlineStr"/>
      <c r="F539" t="inlineStr">
        <is>
          <t>正保琉球国悪鬼納島絵図写</t>
        </is>
      </c>
      <c r="G539" t="inlineStr"/>
      <c r="H539" t="inlineStr"/>
      <c r="I539" t="inlineStr">
        <is>
          <t>81</t>
        </is>
      </c>
      <c r="J539" t="inlineStr"/>
      <c r="K539" t="inlineStr"/>
      <c r="L539" s="1">
        <f>HYPERLINK("https://www.hi.u-tokyo.ac.jp/collection/degitalgallary/ryukyu/item/20146", "https://www.hi.u-tokyo.ac.jp/collection/degitalgallary/ryukyu/item/20146")</f>
        <v/>
      </c>
    </row>
    <row r="540">
      <c r="A540" t="inlineStr">
        <is>
          <t>20147</t>
        </is>
      </c>
      <c r="B540" t="inlineStr">
        <is>
          <t>歩渡り</t>
        </is>
      </c>
      <c r="C540" t="inlineStr">
        <is>
          <t>渡河点</t>
        </is>
      </c>
      <c r="D540" t="inlineStr"/>
      <c r="E540" t="inlineStr"/>
      <c r="F540" t="inlineStr">
        <is>
          <t>正保琉球国悪鬼納島絵図写</t>
        </is>
      </c>
      <c r="G540" t="inlineStr"/>
      <c r="H540" t="inlineStr"/>
      <c r="I540" t="inlineStr">
        <is>
          <t>82</t>
        </is>
      </c>
      <c r="J540" t="inlineStr"/>
      <c r="K540" t="inlineStr"/>
      <c r="L540" s="1">
        <f>HYPERLINK("https://www.hi.u-tokyo.ac.jp/collection/degitalgallary/ryukyu/item/20147", "https://www.hi.u-tokyo.ac.jp/collection/degitalgallary/ryukyu/item/20147")</f>
        <v/>
      </c>
    </row>
    <row r="541">
      <c r="A541" t="inlineStr">
        <is>
          <t>20148</t>
        </is>
      </c>
      <c r="B541" t="inlineStr">
        <is>
          <t>歩渡り</t>
        </is>
      </c>
      <c r="C541" t="inlineStr">
        <is>
          <t>渡河点</t>
        </is>
      </c>
      <c r="D541" t="inlineStr"/>
      <c r="E541" t="inlineStr"/>
      <c r="F541" t="inlineStr">
        <is>
          <t>正保琉球国悪鬼納島絵図写</t>
        </is>
      </c>
      <c r="G541" t="inlineStr"/>
      <c r="H541" t="inlineStr"/>
      <c r="I541" t="inlineStr">
        <is>
          <t>83</t>
        </is>
      </c>
      <c r="J541" t="inlineStr"/>
      <c r="K541" t="inlineStr"/>
      <c r="L541" s="1">
        <f>HYPERLINK("https://www.hi.u-tokyo.ac.jp/collection/degitalgallary/ryukyu/item/20148", "https://www.hi.u-tokyo.ac.jp/collection/degitalgallary/ryukyu/item/20148")</f>
        <v/>
      </c>
    </row>
    <row r="542">
      <c r="A542" t="inlineStr">
        <is>
          <t>20149</t>
        </is>
      </c>
      <c r="B542" t="inlineStr">
        <is>
          <t>具志川間切大道ヨリ勝連崎迄、弐里八町</t>
        </is>
      </c>
      <c r="C542" t="inlineStr">
        <is>
          <t>陸路</t>
        </is>
      </c>
      <c r="D542" t="inlineStr"/>
      <c r="E542" t="inlineStr"/>
      <c r="F542" t="inlineStr">
        <is>
          <t>正保琉球国悪鬼納島絵図写</t>
        </is>
      </c>
      <c r="G542" t="inlineStr"/>
      <c r="H542" t="inlineStr"/>
      <c r="I542" t="inlineStr">
        <is>
          <t>84</t>
        </is>
      </c>
      <c r="J542" t="inlineStr"/>
      <c r="K542" t="inlineStr"/>
      <c r="L542" s="1">
        <f>HYPERLINK("https://www.hi.u-tokyo.ac.jp/collection/degitalgallary/ryukyu/item/20149", "https://www.hi.u-tokyo.ac.jp/collection/degitalgallary/ryukyu/item/20149")</f>
        <v/>
      </c>
    </row>
    <row r="543">
      <c r="A543" t="inlineStr">
        <is>
          <t>20150</t>
        </is>
      </c>
      <c r="B543" t="inlineStr">
        <is>
          <t>船繋り不成</t>
        </is>
      </c>
      <c r="C543" t="inlineStr">
        <is>
          <t>港湾</t>
        </is>
      </c>
      <c r="D543" t="inlineStr"/>
      <c r="E543" t="inlineStr"/>
      <c r="F543" t="inlineStr">
        <is>
          <t>正保琉球国悪鬼納島絵図写</t>
        </is>
      </c>
      <c r="G543" t="inlineStr"/>
      <c r="H543" t="inlineStr"/>
      <c r="I543" t="inlineStr">
        <is>
          <t>85</t>
        </is>
      </c>
      <c r="J543" t="inlineStr"/>
      <c r="K543" t="inlineStr"/>
      <c r="L543" s="1">
        <f>HYPERLINK("https://www.hi.u-tokyo.ac.jp/collection/degitalgallary/ryukyu/item/20150", "https://www.hi.u-tokyo.ac.jp/collection/degitalgallary/ryukyu/item/20150")</f>
        <v/>
      </c>
    </row>
    <row r="544">
      <c r="A544" t="inlineStr">
        <is>
          <t>20151</t>
        </is>
      </c>
      <c r="B544" t="inlineStr">
        <is>
          <t>勝連浜ヨリつけん嶋迄、海上壱里</t>
        </is>
      </c>
      <c r="C544" t="inlineStr">
        <is>
          <t>陸路</t>
        </is>
      </c>
      <c r="D544" t="inlineStr"/>
      <c r="E544" t="inlineStr"/>
      <c r="F544" t="inlineStr">
        <is>
          <t>正保琉球国悪鬼納島絵図写</t>
        </is>
      </c>
      <c r="G544" t="inlineStr"/>
      <c r="H544" t="inlineStr"/>
      <c r="I544" t="inlineStr">
        <is>
          <t>86</t>
        </is>
      </c>
      <c r="J544" t="inlineStr"/>
      <c r="K544" t="inlineStr"/>
      <c r="L544" s="1">
        <f>HYPERLINK("https://www.hi.u-tokyo.ac.jp/collection/degitalgallary/ryukyu/item/20151", "https://www.hi.u-tokyo.ac.jp/collection/degitalgallary/ryukyu/item/20151")</f>
        <v/>
      </c>
    </row>
    <row r="545">
      <c r="A545" t="inlineStr">
        <is>
          <t>20152</t>
        </is>
      </c>
      <c r="B545" t="inlineStr">
        <is>
          <t>勝連崎</t>
        </is>
      </c>
      <c r="C545" t="inlineStr">
        <is>
          <t>崎</t>
        </is>
      </c>
      <c r="D545" t="inlineStr">
        <is>
          <t>26.295621</t>
        </is>
      </c>
      <c r="E545" t="inlineStr">
        <is>
          <t>127.920849</t>
        </is>
      </c>
      <c r="F545" t="inlineStr">
        <is>
          <t>正保琉球国悪鬼納島絵図写</t>
        </is>
      </c>
      <c r="G545" t="inlineStr"/>
      <c r="H545" t="inlineStr"/>
      <c r="I545" t="inlineStr">
        <is>
          <t>87</t>
        </is>
      </c>
      <c r="J545" t="inlineStr"/>
      <c r="K545" t="inlineStr">
        <is>
          <t>沖縄県うるま市勝連平敷屋</t>
        </is>
      </c>
      <c r="L545" s="1">
        <f>HYPERLINK("https://www.hi.u-tokyo.ac.jp/collection/degitalgallary/ryukyu/item/20152", "https://www.hi.u-tokyo.ac.jp/collection/degitalgallary/ryukyu/item/20152")</f>
        <v/>
      </c>
    </row>
    <row r="546">
      <c r="A546" t="inlineStr">
        <is>
          <t>20153</t>
        </is>
      </c>
      <c r="B546" t="inlineStr">
        <is>
          <t>やふつ嶋</t>
        </is>
      </c>
      <c r="C546" t="inlineStr">
        <is>
          <t>島</t>
        </is>
      </c>
      <c r="D546" t="inlineStr">
        <is>
          <t>26.319459</t>
        </is>
      </c>
      <c r="E546" t="inlineStr">
        <is>
          <t>127.9241506</t>
        </is>
      </c>
      <c r="F546" t="inlineStr">
        <is>
          <t>正保琉球国悪鬼納島絵図写</t>
        </is>
      </c>
      <c r="G546" t="inlineStr">
        <is>
          <t>人居なし</t>
        </is>
      </c>
      <c r="H546" t="inlineStr"/>
      <c r="I546" t="inlineStr">
        <is>
          <t>88</t>
        </is>
      </c>
      <c r="J546" t="inlineStr"/>
      <c r="K546" t="inlineStr">
        <is>
          <t>沖縄県うるま市与那城屋慶名</t>
        </is>
      </c>
      <c r="L546" s="1">
        <f>HYPERLINK("https://www.hi.u-tokyo.ac.jp/collection/degitalgallary/ryukyu/item/20153", "https://www.hi.u-tokyo.ac.jp/collection/degitalgallary/ryukyu/item/20153")</f>
        <v/>
      </c>
    </row>
    <row r="547">
      <c r="A547" t="inlineStr">
        <is>
          <t>20154</t>
        </is>
      </c>
      <c r="B547" t="inlineStr">
        <is>
          <t>干潟</t>
        </is>
      </c>
      <c r="C547" t="inlineStr">
        <is>
          <t>干瀬</t>
        </is>
      </c>
      <c r="D547" t="inlineStr"/>
      <c r="E547" t="inlineStr"/>
      <c r="F547" t="inlineStr">
        <is>
          <t>正保琉球国悪鬼納島絵図写</t>
        </is>
      </c>
      <c r="G547" t="inlineStr"/>
      <c r="H547" t="inlineStr"/>
      <c r="I547" t="inlineStr">
        <is>
          <t>89</t>
        </is>
      </c>
      <c r="J547" t="inlineStr"/>
      <c r="K547" t="inlineStr"/>
      <c r="L547" s="1">
        <f>HYPERLINK("https://www.hi.u-tokyo.ac.jp/collection/degitalgallary/ryukyu/item/20154", "https://www.hi.u-tokyo.ac.jp/collection/degitalgallary/ryukyu/item/20154")</f>
        <v/>
      </c>
    </row>
    <row r="548">
      <c r="A548" t="inlineStr">
        <is>
          <t>20155</t>
        </is>
      </c>
      <c r="B548" t="inlineStr">
        <is>
          <t>平安座嶋</t>
        </is>
      </c>
      <c r="C548" t="inlineStr">
        <is>
          <t>島</t>
        </is>
      </c>
      <c r="D548" t="inlineStr">
        <is>
          <t>26.342154</t>
        </is>
      </c>
      <c r="E548" t="inlineStr">
        <is>
          <t>127.9587111</t>
        </is>
      </c>
      <c r="F548" t="inlineStr">
        <is>
          <t>正保琉球国悪鬼納島絵図写</t>
        </is>
      </c>
      <c r="G548" t="inlineStr">
        <is>
          <t>勝連間切之内
人居有
嶋廻卅一町</t>
        </is>
      </c>
      <c r="H548" t="inlineStr"/>
      <c r="I548" t="inlineStr">
        <is>
          <t>90</t>
        </is>
      </c>
      <c r="J548" t="inlineStr"/>
      <c r="K548" t="inlineStr">
        <is>
          <t>沖縄県うるま市与那城平安座</t>
        </is>
      </c>
      <c r="L548" s="1">
        <f>HYPERLINK("https://www.hi.u-tokyo.ac.jp/collection/degitalgallary/ryukyu/item/20155", "https://www.hi.u-tokyo.ac.jp/collection/degitalgallary/ryukyu/item/20155")</f>
        <v/>
      </c>
    </row>
    <row r="549">
      <c r="A549" t="inlineStr">
        <is>
          <t>20156</t>
        </is>
      </c>
      <c r="B549" t="inlineStr">
        <is>
          <t>船かゝり不成</t>
        </is>
      </c>
      <c r="C549" t="inlineStr">
        <is>
          <t>港湾</t>
        </is>
      </c>
      <c r="D549" t="inlineStr"/>
      <c r="E549" t="inlineStr"/>
      <c r="F549" t="inlineStr">
        <is>
          <t>正保琉球国悪鬼納島絵図写</t>
        </is>
      </c>
      <c r="G549" t="inlineStr"/>
      <c r="H549" t="inlineStr"/>
      <c r="I549" t="inlineStr">
        <is>
          <t>91</t>
        </is>
      </c>
      <c r="J549" t="inlineStr"/>
      <c r="K549" t="inlineStr"/>
      <c r="L549" s="1">
        <f>HYPERLINK("https://www.hi.u-tokyo.ac.jp/collection/degitalgallary/ryukyu/item/20156", "https://www.hi.u-tokyo.ac.jp/collection/degitalgallary/ryukyu/item/20156")</f>
        <v/>
      </c>
    </row>
    <row r="550">
      <c r="A550" t="inlineStr">
        <is>
          <t>20157</t>
        </is>
      </c>
      <c r="B550" t="inlineStr">
        <is>
          <t>みせのひせ</t>
        </is>
      </c>
      <c r="C550" t="inlineStr">
        <is>
          <t>干瀬</t>
        </is>
      </c>
      <c r="D550" t="inlineStr"/>
      <c r="E550" t="inlineStr"/>
      <c r="F550" t="inlineStr">
        <is>
          <t>正保琉球国悪鬼納島絵図写</t>
        </is>
      </c>
      <c r="G550" t="inlineStr"/>
      <c r="H550" t="inlineStr"/>
      <c r="I550" t="inlineStr">
        <is>
          <t>92</t>
        </is>
      </c>
      <c r="J550" t="inlineStr"/>
      <c r="K550" t="inlineStr"/>
      <c r="L550" s="1">
        <f>HYPERLINK("https://www.hi.u-tokyo.ac.jp/collection/degitalgallary/ryukyu/item/20157", "https://www.hi.u-tokyo.ac.jp/collection/degitalgallary/ryukyu/item/20157")</f>
        <v/>
      </c>
    </row>
    <row r="551">
      <c r="A551" t="inlineStr">
        <is>
          <t>20158</t>
        </is>
      </c>
      <c r="B551" t="inlineStr">
        <is>
          <t>此間七町</t>
        </is>
      </c>
      <c r="C551" t="inlineStr">
        <is>
          <t>その他</t>
        </is>
      </c>
      <c r="D551" t="inlineStr"/>
      <c r="E551" t="inlineStr"/>
      <c r="F551" t="inlineStr">
        <is>
          <t>正保琉球国悪鬼納島絵図写</t>
        </is>
      </c>
      <c r="G551" t="inlineStr"/>
      <c r="H551" t="inlineStr"/>
      <c r="I551" t="inlineStr">
        <is>
          <t>93</t>
        </is>
      </c>
      <c r="J551" t="inlineStr"/>
      <c r="K551" t="inlineStr"/>
      <c r="L551" s="1">
        <f>HYPERLINK("https://www.hi.u-tokyo.ac.jp/collection/degitalgallary/ryukyu/item/20158", "https://www.hi.u-tokyo.ac.jp/collection/degitalgallary/ryukyu/item/20158")</f>
        <v/>
      </c>
    </row>
    <row r="552">
      <c r="A552" t="inlineStr">
        <is>
          <t>20159</t>
        </is>
      </c>
      <c r="B552" t="inlineStr">
        <is>
          <t>宮城嶋</t>
        </is>
      </c>
      <c r="C552" t="inlineStr">
        <is>
          <t>島</t>
        </is>
      </c>
      <c r="D552" t="inlineStr">
        <is>
          <t>26.3699159</t>
        </is>
      </c>
      <c r="E552" t="inlineStr">
        <is>
          <t>127.9837545</t>
        </is>
      </c>
      <c r="F552" t="inlineStr">
        <is>
          <t>正保琉球国悪鬼納島絵図写</t>
        </is>
      </c>
      <c r="G552" t="inlineStr">
        <is>
          <t>勝連間切之内
人居有
嶋廻卅四町</t>
        </is>
      </c>
      <c r="H552" t="inlineStr"/>
      <c r="I552" t="inlineStr">
        <is>
          <t>94</t>
        </is>
      </c>
      <c r="J552" t="inlineStr"/>
      <c r="K552" t="inlineStr">
        <is>
          <t>沖縄県うるま市与那城宮城</t>
        </is>
      </c>
      <c r="L552" s="1">
        <f>HYPERLINK("https://www.hi.u-tokyo.ac.jp/collection/degitalgallary/ryukyu/item/20159", "https://www.hi.u-tokyo.ac.jp/collection/degitalgallary/ryukyu/item/20159")</f>
        <v/>
      </c>
    </row>
    <row r="553">
      <c r="A553" t="inlineStr">
        <is>
          <t>20160</t>
        </is>
      </c>
      <c r="B553" t="inlineStr">
        <is>
          <t>船繋り不成</t>
        </is>
      </c>
      <c r="C553" t="inlineStr">
        <is>
          <t>港湾</t>
        </is>
      </c>
      <c r="D553" t="inlineStr"/>
      <c r="E553" t="inlineStr"/>
      <c r="F553" t="inlineStr">
        <is>
          <t>正保琉球国悪鬼納島絵図写</t>
        </is>
      </c>
      <c r="G553" t="inlineStr"/>
      <c r="H553" t="inlineStr"/>
      <c r="I553" t="inlineStr">
        <is>
          <t>95</t>
        </is>
      </c>
      <c r="J553" t="inlineStr"/>
      <c r="K553" t="inlineStr"/>
      <c r="L553" s="1">
        <f>HYPERLINK("https://www.hi.u-tokyo.ac.jp/collection/degitalgallary/ryukyu/item/20160", "https://www.hi.u-tokyo.ac.jp/collection/degitalgallary/ryukyu/item/20160")</f>
        <v/>
      </c>
    </row>
    <row r="554">
      <c r="A554" t="inlineStr">
        <is>
          <t>20161</t>
        </is>
      </c>
      <c r="B554" t="inlineStr">
        <is>
          <t>此間一町廿間</t>
        </is>
      </c>
      <c r="C554" t="inlineStr">
        <is>
          <t>その他</t>
        </is>
      </c>
      <c r="D554" t="inlineStr"/>
      <c r="E554" t="inlineStr"/>
      <c r="F554" t="inlineStr">
        <is>
          <t>正保琉球国悪鬼納島絵図写</t>
        </is>
      </c>
      <c r="G554" t="inlineStr"/>
      <c r="H554" t="inlineStr"/>
      <c r="I554" t="inlineStr">
        <is>
          <t>96</t>
        </is>
      </c>
      <c r="J554" t="inlineStr"/>
      <c r="K554" t="inlineStr"/>
      <c r="L554" s="1">
        <f>HYPERLINK("https://www.hi.u-tokyo.ac.jp/collection/degitalgallary/ryukyu/item/20161", "https://www.hi.u-tokyo.ac.jp/collection/degitalgallary/ryukyu/item/20161")</f>
        <v/>
      </c>
    </row>
    <row r="555">
      <c r="A555" t="inlineStr">
        <is>
          <t>20162</t>
        </is>
      </c>
      <c r="B555" t="inlineStr">
        <is>
          <t>いけ嶋</t>
        </is>
      </c>
      <c r="C555" t="inlineStr">
        <is>
          <t>島</t>
        </is>
      </c>
      <c r="D555" t="inlineStr">
        <is>
          <t>26.393366</t>
        </is>
      </c>
      <c r="E555" t="inlineStr">
        <is>
          <t>127.9969928</t>
        </is>
      </c>
      <c r="F555" t="inlineStr">
        <is>
          <t>正保琉球国悪鬼納島絵図写</t>
        </is>
      </c>
      <c r="G555" t="inlineStr">
        <is>
          <t>勝連間切之内
人居有
嶋廻廿壱町</t>
        </is>
      </c>
      <c r="H555" t="inlineStr"/>
      <c r="I555" t="inlineStr">
        <is>
          <t>97</t>
        </is>
      </c>
      <c r="J555" t="inlineStr"/>
      <c r="K555" t="inlineStr">
        <is>
          <t>沖縄県うるま市与那城伊計</t>
        </is>
      </c>
      <c r="L555" s="1">
        <f>HYPERLINK("https://www.hi.u-tokyo.ac.jp/collection/degitalgallary/ryukyu/item/20162", "https://www.hi.u-tokyo.ac.jp/collection/degitalgallary/ryukyu/item/20162")</f>
        <v/>
      </c>
    </row>
    <row r="556">
      <c r="A556" t="inlineStr">
        <is>
          <t>20163</t>
        </is>
      </c>
      <c r="B556" t="inlineStr">
        <is>
          <t>此間十五町</t>
        </is>
      </c>
      <c r="C556" t="inlineStr">
        <is>
          <t>その他</t>
        </is>
      </c>
      <c r="D556" t="inlineStr"/>
      <c r="E556" t="inlineStr"/>
      <c r="F556" t="inlineStr">
        <is>
          <t>正保琉球国悪鬼納島絵図写</t>
        </is>
      </c>
      <c r="G556" t="inlineStr"/>
      <c r="H556" t="inlineStr"/>
      <c r="I556" t="inlineStr">
        <is>
          <t>98</t>
        </is>
      </c>
      <c r="J556" t="inlineStr"/>
      <c r="K556" t="inlineStr"/>
      <c r="L556" s="1">
        <f>HYPERLINK("https://www.hi.u-tokyo.ac.jp/collection/degitalgallary/ryukyu/item/20163", "https://www.hi.u-tokyo.ac.jp/collection/degitalgallary/ryukyu/item/20163")</f>
        <v/>
      </c>
    </row>
    <row r="557">
      <c r="A557" t="inlineStr">
        <is>
          <t>20164</t>
        </is>
      </c>
      <c r="B557" t="inlineStr">
        <is>
          <t>ばま嶋</t>
        </is>
      </c>
      <c r="C557" t="inlineStr">
        <is>
          <t>島</t>
        </is>
      </c>
      <c r="D557" t="inlineStr">
        <is>
          <t>26.3213245</t>
        </is>
      </c>
      <c r="E557" t="inlineStr">
        <is>
          <t>127.9585947</t>
        </is>
      </c>
      <c r="F557" t="inlineStr">
        <is>
          <t>正保琉球国悪鬼納島絵図写</t>
        </is>
      </c>
      <c r="G557" t="inlineStr">
        <is>
          <t>勝連間切之内
人居有
嶋廻廿八町</t>
        </is>
      </c>
      <c r="H557" t="inlineStr"/>
      <c r="I557" t="inlineStr">
        <is>
          <t>99</t>
        </is>
      </c>
      <c r="J557" t="inlineStr"/>
      <c r="K557" t="inlineStr">
        <is>
          <t>沖縄県うるま市勝連比嘉</t>
        </is>
      </c>
      <c r="L557" s="1">
        <f>HYPERLINK("https://www.hi.u-tokyo.ac.jp/collection/degitalgallary/ryukyu/item/20164", "https://www.hi.u-tokyo.ac.jp/collection/degitalgallary/ryukyu/item/20164")</f>
        <v/>
      </c>
    </row>
    <row r="558">
      <c r="A558" t="inlineStr">
        <is>
          <t>20165</t>
        </is>
      </c>
      <c r="B558" t="inlineStr">
        <is>
          <t>つけん嶋ヨリばま嶋迄海上一里十八町</t>
        </is>
      </c>
      <c r="C558" t="inlineStr">
        <is>
          <t>航路</t>
        </is>
      </c>
      <c r="D558" t="inlineStr"/>
      <c r="E558" t="inlineStr"/>
      <c r="F558" t="inlineStr">
        <is>
          <t>正保琉球国悪鬼納島絵図写</t>
        </is>
      </c>
      <c r="G558" t="inlineStr"/>
      <c r="H558" t="inlineStr"/>
      <c r="I558" t="inlineStr">
        <is>
          <t>100</t>
        </is>
      </c>
      <c r="J558" t="inlineStr"/>
      <c r="K558" t="inlineStr"/>
      <c r="L558" s="1">
        <f>HYPERLINK("https://www.hi.u-tokyo.ac.jp/collection/degitalgallary/ryukyu/item/20165", "https://www.hi.u-tokyo.ac.jp/collection/degitalgallary/ryukyu/item/20165")</f>
        <v/>
      </c>
    </row>
    <row r="559">
      <c r="A559" t="inlineStr">
        <is>
          <t>20166</t>
        </is>
      </c>
      <c r="B559" t="inlineStr">
        <is>
          <t>つけん嶋</t>
        </is>
      </c>
      <c r="C559" t="inlineStr">
        <is>
          <t>島</t>
        </is>
      </c>
      <c r="D559" t="inlineStr">
        <is>
          <t>26.2518375</t>
        </is>
      </c>
      <c r="E559" t="inlineStr">
        <is>
          <t>127.9400504</t>
        </is>
      </c>
      <c r="F559" t="inlineStr">
        <is>
          <t>正保琉球国悪鬼納島絵図写</t>
        </is>
      </c>
      <c r="G559" t="inlineStr">
        <is>
          <t>西原間切之内
人居有
嶋廻一里</t>
        </is>
      </c>
      <c r="H559" t="inlineStr"/>
      <c r="I559" t="inlineStr">
        <is>
          <t>101</t>
        </is>
      </c>
      <c r="J559" t="inlineStr"/>
      <c r="K559" t="inlineStr">
        <is>
          <t>沖縄県うるま市勝連津堅</t>
        </is>
      </c>
      <c r="L559" s="1">
        <f>HYPERLINK("https://www.hi.u-tokyo.ac.jp/collection/degitalgallary/ryukyu/item/20166", "https://www.hi.u-tokyo.ac.jp/collection/degitalgallary/ryukyu/item/20166")</f>
        <v/>
      </c>
    </row>
    <row r="560">
      <c r="A560" t="inlineStr">
        <is>
          <t>20167</t>
        </is>
      </c>
      <c r="B560" t="inlineStr">
        <is>
          <t>船かゝり不成</t>
        </is>
      </c>
      <c r="C560" t="inlineStr">
        <is>
          <t>港湾</t>
        </is>
      </c>
      <c r="D560" t="inlineStr"/>
      <c r="E560" t="inlineStr"/>
      <c r="F560" t="inlineStr">
        <is>
          <t>正保琉球国悪鬼納島絵図写</t>
        </is>
      </c>
      <c r="G560" t="inlineStr"/>
      <c r="H560" t="inlineStr"/>
      <c r="I560" t="inlineStr">
        <is>
          <t>102</t>
        </is>
      </c>
      <c r="J560" t="inlineStr"/>
      <c r="K560" t="inlineStr"/>
      <c r="L560" s="1">
        <f>HYPERLINK("https://www.hi.u-tokyo.ac.jp/collection/degitalgallary/ryukyu/item/20167", "https://www.hi.u-tokyo.ac.jp/collection/degitalgallary/ryukyu/item/20167")</f>
        <v/>
      </c>
    </row>
    <row r="561">
      <c r="A561" t="inlineStr">
        <is>
          <t>20168</t>
        </is>
      </c>
      <c r="B561" t="inlineStr">
        <is>
          <t>此間弐町</t>
        </is>
      </c>
      <c r="C561" t="inlineStr">
        <is>
          <t>その他</t>
        </is>
      </c>
      <c r="D561" t="inlineStr"/>
      <c r="E561" t="inlineStr"/>
      <c r="F561" t="inlineStr">
        <is>
          <t>正保琉球国悪鬼納島絵図写</t>
        </is>
      </c>
      <c r="G561" t="inlineStr"/>
      <c r="H561" t="inlineStr"/>
      <c r="I561" t="inlineStr">
        <is>
          <t>103</t>
        </is>
      </c>
      <c r="J561" t="inlineStr"/>
      <c r="K561" t="inlineStr"/>
      <c r="L561" s="1">
        <f>HYPERLINK("https://www.hi.u-tokyo.ac.jp/collection/degitalgallary/ryukyu/item/20168", "https://www.hi.u-tokyo.ac.jp/collection/degitalgallary/ryukyu/item/20168")</f>
        <v/>
      </c>
    </row>
    <row r="562">
      <c r="A562" t="inlineStr">
        <is>
          <t>20169</t>
        </is>
      </c>
      <c r="B562" t="inlineStr">
        <is>
          <t>あふ嶋</t>
        </is>
      </c>
      <c r="C562" t="inlineStr">
        <is>
          <t>島</t>
        </is>
      </c>
      <c r="D562" t="inlineStr">
        <is>
          <t>26.263965</t>
        </is>
      </c>
      <c r="E562" t="inlineStr">
        <is>
          <t>127.947389</t>
        </is>
      </c>
      <c r="F562" t="inlineStr">
        <is>
          <t>正保琉球国悪鬼納島絵図写</t>
        </is>
      </c>
      <c r="G562" t="inlineStr"/>
      <c r="H562" t="inlineStr"/>
      <c r="I562" t="inlineStr">
        <is>
          <t>104</t>
        </is>
      </c>
      <c r="J562" t="inlineStr"/>
      <c r="K562" t="inlineStr">
        <is>
          <t>沖縄県うるま市勝連津堅</t>
        </is>
      </c>
      <c r="L562" s="1">
        <f>HYPERLINK("https://www.hi.u-tokyo.ac.jp/collection/degitalgallary/ryukyu/item/20169", "https://www.hi.u-tokyo.ac.jp/collection/degitalgallary/ryukyu/item/20169")</f>
        <v/>
      </c>
    </row>
    <row r="563">
      <c r="A563" t="inlineStr">
        <is>
          <t>20170</t>
        </is>
      </c>
      <c r="B563" t="inlineStr">
        <is>
          <t>あせ嶋</t>
        </is>
      </c>
      <c r="C563" t="inlineStr">
        <is>
          <t>島</t>
        </is>
      </c>
      <c r="D563" t="inlineStr">
        <is>
          <t>26.3188891</t>
        </is>
      </c>
      <c r="E563" t="inlineStr">
        <is>
          <t>127.8326572</t>
        </is>
      </c>
      <c r="F563" t="inlineStr">
        <is>
          <t>正保琉球国悪鬼納島絵図写</t>
        </is>
      </c>
      <c r="G563" t="inlineStr"/>
      <c r="H563" t="inlineStr"/>
      <c r="I563" t="inlineStr">
        <is>
          <t>105</t>
        </is>
      </c>
      <c r="J563" t="inlineStr"/>
      <c r="K563" t="inlineStr">
        <is>
          <t>沖縄県沖縄市泡瀬</t>
        </is>
      </c>
      <c r="L563" s="1">
        <f>HYPERLINK("https://www.hi.u-tokyo.ac.jp/collection/degitalgallary/ryukyu/item/20170", "https://www.hi.u-tokyo.ac.jp/collection/degitalgallary/ryukyu/item/20170")</f>
        <v/>
      </c>
    </row>
    <row r="564">
      <c r="A564" t="inlineStr">
        <is>
          <t>20171</t>
        </is>
      </c>
      <c r="B564" t="inlineStr">
        <is>
          <t>あふ嶋</t>
        </is>
      </c>
      <c r="C564" t="inlineStr">
        <is>
          <t>島</t>
        </is>
      </c>
      <c r="D564" t="inlineStr">
        <is>
          <t>26.304178</t>
        </is>
      </c>
      <c r="E564" t="inlineStr">
        <is>
          <t>127.824709</t>
        </is>
      </c>
      <c r="F564" t="inlineStr">
        <is>
          <t>正保琉球国悪鬼納島絵図写</t>
        </is>
      </c>
      <c r="G564" t="inlineStr"/>
      <c r="H564" t="inlineStr"/>
      <c r="I564" t="inlineStr">
        <is>
          <t>106</t>
        </is>
      </c>
      <c r="J564" t="inlineStr"/>
      <c r="K564" t="inlineStr">
        <is>
          <t>沖縄県中頭郡北中城村渡口</t>
        </is>
      </c>
      <c r="L564" s="1">
        <f>HYPERLINK("https://www.hi.u-tokyo.ac.jp/collection/degitalgallary/ryukyu/item/20171", "https://www.hi.u-tokyo.ac.jp/collection/degitalgallary/ryukyu/item/20171")</f>
        <v/>
      </c>
    </row>
    <row r="565">
      <c r="A565" t="inlineStr">
        <is>
          <t>20172</t>
        </is>
      </c>
      <c r="B565" t="inlineStr">
        <is>
          <t>久高嶋</t>
        </is>
      </c>
      <c r="C565" t="inlineStr">
        <is>
          <t>島</t>
        </is>
      </c>
      <c r="D565" t="inlineStr">
        <is>
          <t>26.1611856</t>
        </is>
      </c>
      <c r="E565" t="inlineStr">
        <is>
          <t>127.8923406</t>
        </is>
      </c>
      <c r="F565" t="inlineStr">
        <is>
          <t>正保琉球国悪鬼納島絵図写</t>
        </is>
      </c>
      <c r="G565" t="inlineStr">
        <is>
          <t>知念間切之内
人居有
嶋廻廿九町</t>
        </is>
      </c>
      <c r="H565" t="inlineStr"/>
      <c r="I565" t="inlineStr">
        <is>
          <t>107</t>
        </is>
      </c>
      <c r="J565" t="inlineStr"/>
      <c r="K565" t="inlineStr">
        <is>
          <t>沖縄県南城市知念久高</t>
        </is>
      </c>
      <c r="L565" s="1">
        <f>HYPERLINK("https://www.hi.u-tokyo.ac.jp/collection/degitalgallary/ryukyu/item/20172", "https://www.hi.u-tokyo.ac.jp/collection/degitalgallary/ryukyu/item/20172")</f>
        <v/>
      </c>
    </row>
    <row r="566">
      <c r="A566" t="inlineStr">
        <is>
          <t>20173</t>
        </is>
      </c>
      <c r="B566" t="inlineStr">
        <is>
          <t>船かゝり不成</t>
        </is>
      </c>
      <c r="C566" t="inlineStr">
        <is>
          <t>港湾</t>
        </is>
      </c>
      <c r="D566" t="inlineStr"/>
      <c r="E566" t="inlineStr"/>
      <c r="F566" t="inlineStr">
        <is>
          <t>正保琉球国悪鬼納島絵図写</t>
        </is>
      </c>
      <c r="G566" t="inlineStr"/>
      <c r="H566" t="inlineStr"/>
      <c r="I566" t="inlineStr">
        <is>
          <t>108</t>
        </is>
      </c>
      <c r="J566" t="inlineStr"/>
      <c r="K566" t="inlineStr"/>
      <c r="L566" s="1">
        <f>HYPERLINK("https://www.hi.u-tokyo.ac.jp/collection/degitalgallary/ryukyu/item/20173", "https://www.hi.u-tokyo.ac.jp/collection/degitalgallary/ryukyu/item/20173")</f>
        <v/>
      </c>
    </row>
    <row r="567">
      <c r="A567" t="inlineStr">
        <is>
          <t>20174</t>
        </is>
      </c>
      <c r="B567" t="inlineStr">
        <is>
          <t>こまかせ</t>
        </is>
      </c>
      <c r="C567" t="inlineStr">
        <is>
          <t>干瀬</t>
        </is>
      </c>
      <c r="D567" t="inlineStr">
        <is>
          <t>26.1495348</t>
        </is>
      </c>
      <c r="E567" t="inlineStr">
        <is>
          <t>127.8500428</t>
        </is>
      </c>
      <c r="F567" t="inlineStr">
        <is>
          <t>正保琉球国悪鬼納島絵図写</t>
        </is>
      </c>
      <c r="G567" t="inlineStr"/>
      <c r="H567" t="inlineStr"/>
      <c r="I567" t="inlineStr">
        <is>
          <t>109</t>
        </is>
      </c>
      <c r="J567" t="inlineStr"/>
      <c r="K567" t="inlineStr">
        <is>
          <t>沖縄県南城市知念知念</t>
        </is>
      </c>
      <c r="L567" s="1">
        <f>HYPERLINK("https://www.hi.u-tokyo.ac.jp/collection/degitalgallary/ryukyu/item/20174", "https://www.hi.u-tokyo.ac.jp/collection/degitalgallary/ryukyu/item/20174")</f>
        <v/>
      </c>
    </row>
    <row r="568">
      <c r="A568" t="inlineStr">
        <is>
          <t>20175</t>
        </is>
      </c>
      <c r="B568" t="inlineStr">
        <is>
          <t>知念浜ヨリ久高嶋迄、海上壱里</t>
        </is>
      </c>
      <c r="C568" t="inlineStr">
        <is>
          <t>航路</t>
        </is>
      </c>
      <c r="D568" t="inlineStr"/>
      <c r="E568" t="inlineStr"/>
      <c r="F568" t="inlineStr">
        <is>
          <t>正保琉球国悪鬼納島絵図写</t>
        </is>
      </c>
      <c r="G568" t="inlineStr"/>
      <c r="H568" t="inlineStr"/>
      <c r="I568" t="inlineStr">
        <is>
          <t>110</t>
        </is>
      </c>
      <c r="J568" t="inlineStr"/>
      <c r="K568" t="inlineStr"/>
      <c r="L568" s="1">
        <f>HYPERLINK("https://www.hi.u-tokyo.ac.jp/collection/degitalgallary/ryukyu/item/20175", "https://www.hi.u-tokyo.ac.jp/collection/degitalgallary/ryukyu/item/20175")</f>
        <v/>
      </c>
    </row>
    <row r="569">
      <c r="A569" t="inlineStr">
        <is>
          <t>20176</t>
        </is>
      </c>
      <c r="B569" t="inlineStr">
        <is>
          <t>船かゝり不成</t>
        </is>
      </c>
      <c r="C569" t="inlineStr">
        <is>
          <t>港湾</t>
        </is>
      </c>
      <c r="D569" t="inlineStr"/>
      <c r="E569" t="inlineStr"/>
      <c r="F569" t="inlineStr">
        <is>
          <t>正保琉球国悪鬼納島絵図写</t>
        </is>
      </c>
      <c r="G569" t="inlineStr"/>
      <c r="H569" t="inlineStr"/>
      <c r="I569" t="inlineStr">
        <is>
          <t>111</t>
        </is>
      </c>
      <c r="J569" t="inlineStr"/>
      <c r="K569" t="inlineStr"/>
      <c r="L569" s="1">
        <f>HYPERLINK("https://www.hi.u-tokyo.ac.jp/collection/degitalgallary/ryukyu/item/20176", "https://www.hi.u-tokyo.ac.jp/collection/degitalgallary/ryukyu/item/20176")</f>
        <v/>
      </c>
    </row>
    <row r="570">
      <c r="A570" t="inlineStr">
        <is>
          <t>20177</t>
        </is>
      </c>
      <c r="B570" t="inlineStr">
        <is>
          <t>二俣瀬</t>
        </is>
      </c>
      <c r="C570" t="inlineStr">
        <is>
          <t>干瀬</t>
        </is>
      </c>
      <c r="D570" t="inlineStr">
        <is>
          <t>26.1482912</t>
        </is>
      </c>
      <c r="E570" t="inlineStr">
        <is>
          <t>127.8220332</t>
        </is>
      </c>
      <c r="F570" t="inlineStr">
        <is>
          <t>正保琉球国悪鬼納島絵図写</t>
        </is>
      </c>
      <c r="G570" t="inlineStr"/>
      <c r="H570" t="inlineStr"/>
      <c r="I570" t="inlineStr">
        <is>
          <t>112</t>
        </is>
      </c>
      <c r="J570" t="inlineStr"/>
      <c r="K570" t="inlineStr">
        <is>
          <t>沖縄県南城市知念山里</t>
        </is>
      </c>
      <c r="L570" s="1">
        <f>HYPERLINK("https://www.hi.u-tokyo.ac.jp/collection/degitalgallary/ryukyu/item/20177", "https://www.hi.u-tokyo.ac.jp/collection/degitalgallary/ryukyu/item/20177")</f>
        <v/>
      </c>
    </row>
    <row r="571">
      <c r="A571" t="inlineStr">
        <is>
          <t>20178</t>
        </is>
      </c>
      <c r="B571" t="inlineStr">
        <is>
          <t>あときせ</t>
        </is>
      </c>
      <c r="C571" t="inlineStr">
        <is>
          <t>干瀬</t>
        </is>
      </c>
      <c r="D571" t="inlineStr">
        <is>
          <t>26.1454551</t>
        </is>
      </c>
      <c r="E571" t="inlineStr">
        <is>
          <t>127.8092671</t>
        </is>
      </c>
      <c r="F571" t="inlineStr">
        <is>
          <t>正保琉球国悪鬼納島絵図写</t>
        </is>
      </c>
      <c r="G571" t="inlineStr"/>
      <c r="H571" t="inlineStr"/>
      <c r="I571" t="inlineStr">
        <is>
          <t>113</t>
        </is>
      </c>
      <c r="J571" t="inlineStr"/>
      <c r="K571" t="inlineStr">
        <is>
          <t>沖縄県南城市知念志喜屋</t>
        </is>
      </c>
      <c r="L571" s="1">
        <f>HYPERLINK("https://www.hi.u-tokyo.ac.jp/collection/degitalgallary/ryukyu/item/20178", "https://www.hi.u-tokyo.ac.jp/collection/degitalgallary/ryukyu/item/20178")</f>
        <v/>
      </c>
    </row>
    <row r="572">
      <c r="A572" t="inlineStr">
        <is>
          <t>20179</t>
        </is>
      </c>
      <c r="B572" t="inlineStr">
        <is>
          <t>あふ嶋</t>
        </is>
      </c>
      <c r="C572" t="inlineStr">
        <is>
          <t>島</t>
        </is>
      </c>
      <c r="D572" t="inlineStr">
        <is>
          <t>26.129609</t>
        </is>
      </c>
      <c r="E572" t="inlineStr">
        <is>
          <t>127.773538</t>
        </is>
      </c>
      <c r="F572" t="inlineStr">
        <is>
          <t>正保琉球国悪鬼納島絵図写</t>
        </is>
      </c>
      <c r="G572" t="inlineStr">
        <is>
          <t>人居有</t>
        </is>
      </c>
      <c r="H572" t="inlineStr"/>
      <c r="I572" t="inlineStr">
        <is>
          <t>114</t>
        </is>
      </c>
      <c r="J572" t="inlineStr"/>
      <c r="K572" t="inlineStr">
        <is>
          <t>沖縄県南城市玉城奥武</t>
        </is>
      </c>
      <c r="L572" s="1">
        <f>HYPERLINK("https://www.hi.u-tokyo.ac.jp/collection/degitalgallary/ryukyu/item/20179", "https://www.hi.u-tokyo.ac.jp/collection/degitalgallary/ryukyu/item/20179")</f>
        <v/>
      </c>
    </row>
    <row r="573">
      <c r="A573" t="inlineStr">
        <is>
          <t>20180</t>
        </is>
      </c>
      <c r="B573" t="inlineStr">
        <is>
          <t>橋有</t>
        </is>
      </c>
      <c r="C573" t="inlineStr">
        <is>
          <t>渡河点</t>
        </is>
      </c>
      <c r="D573" t="inlineStr"/>
      <c r="E573" t="inlineStr"/>
      <c r="F573" t="inlineStr">
        <is>
          <t>正保琉球国悪鬼納島絵図写</t>
        </is>
      </c>
      <c r="G573" t="inlineStr"/>
      <c r="H573" t="inlineStr"/>
      <c r="I573" t="inlineStr">
        <is>
          <t>115</t>
        </is>
      </c>
      <c r="J573" t="inlineStr"/>
      <c r="K573" t="inlineStr"/>
      <c r="L573" s="1">
        <f>HYPERLINK("https://www.hi.u-tokyo.ac.jp/collection/degitalgallary/ryukyu/item/20180", "https://www.hi.u-tokyo.ac.jp/collection/degitalgallary/ryukyu/item/20180")</f>
        <v/>
      </c>
    </row>
    <row r="574">
      <c r="A574" t="inlineStr">
        <is>
          <t>20181</t>
        </is>
      </c>
      <c r="B574" t="inlineStr">
        <is>
          <t>首里ヨリ摩文仁間切大道迄三里四町</t>
        </is>
      </c>
      <c r="C574" t="inlineStr">
        <is>
          <t>陸路</t>
        </is>
      </c>
      <c r="D574" t="inlineStr"/>
      <c r="E574" t="inlineStr"/>
      <c r="F574" t="inlineStr">
        <is>
          <t>正保琉球国悪鬼納島絵図写</t>
        </is>
      </c>
      <c r="G574" t="inlineStr"/>
      <c r="H574" t="inlineStr"/>
      <c r="I574" t="inlineStr">
        <is>
          <t>116</t>
        </is>
      </c>
      <c r="J574" t="inlineStr"/>
      <c r="K574" t="inlineStr"/>
      <c r="L574" s="1">
        <f>HYPERLINK("https://www.hi.u-tokyo.ac.jp/collection/degitalgallary/ryukyu/item/20181", "https://www.hi.u-tokyo.ac.jp/collection/degitalgallary/ryukyu/item/20181")</f>
        <v/>
      </c>
    </row>
    <row r="575">
      <c r="A575" t="inlineStr">
        <is>
          <t>20182</t>
        </is>
      </c>
      <c r="B575" t="inlineStr">
        <is>
          <t>歩渡り</t>
        </is>
      </c>
      <c r="C575" t="inlineStr">
        <is>
          <t>渡河点</t>
        </is>
      </c>
      <c r="D575" t="inlineStr"/>
      <c r="E575" t="inlineStr"/>
      <c r="F575" t="inlineStr">
        <is>
          <t>正保琉球国悪鬼納島絵図写</t>
        </is>
      </c>
      <c r="G575" t="inlineStr"/>
      <c r="H575" t="inlineStr"/>
      <c r="I575" t="inlineStr">
        <is>
          <t>117</t>
        </is>
      </c>
      <c r="J575" t="inlineStr"/>
      <c r="K575" t="inlineStr"/>
      <c r="L575" s="1">
        <f>HYPERLINK("https://www.hi.u-tokyo.ac.jp/collection/degitalgallary/ryukyu/item/20182", "https://www.hi.u-tokyo.ac.jp/collection/degitalgallary/ryukyu/item/20182")</f>
        <v/>
      </c>
    </row>
    <row r="576">
      <c r="A576" t="inlineStr">
        <is>
          <t>20183</t>
        </is>
      </c>
      <c r="B576" t="inlineStr">
        <is>
          <t>きやむ崎</t>
        </is>
      </c>
      <c r="C576" t="inlineStr">
        <is>
          <t>崎</t>
        </is>
      </c>
      <c r="D576" t="inlineStr">
        <is>
          <t>26.078864</t>
        </is>
      </c>
      <c r="E576" t="inlineStr">
        <is>
          <t>127.668974</t>
        </is>
      </c>
      <c r="F576" t="inlineStr">
        <is>
          <t>正保琉球国悪鬼納島絵図写</t>
        </is>
      </c>
      <c r="G576" t="inlineStr"/>
      <c r="H576" t="inlineStr"/>
      <c r="I576" t="inlineStr">
        <is>
          <t>118</t>
        </is>
      </c>
      <c r="J576" t="inlineStr"/>
      <c r="K576" t="inlineStr">
        <is>
          <t>沖縄県糸満市喜屋武</t>
        </is>
      </c>
      <c r="L576" s="1">
        <f>HYPERLINK("https://www.hi.u-tokyo.ac.jp/collection/degitalgallary/ryukyu/item/20183", "https://www.hi.u-tokyo.ac.jp/collection/degitalgallary/ryukyu/item/20183")</f>
        <v/>
      </c>
    </row>
    <row r="577">
      <c r="A577" t="inlineStr">
        <is>
          <t>20184</t>
        </is>
      </c>
      <c r="B577" t="inlineStr">
        <is>
          <t>あいけな嶋</t>
        </is>
      </c>
      <c r="C577" t="inlineStr">
        <is>
          <t>島</t>
        </is>
      </c>
      <c r="D577" t="inlineStr">
        <is>
          <t>26.1088573</t>
        </is>
      </c>
      <c r="E577" t="inlineStr">
        <is>
          <t>127.6587844</t>
        </is>
      </c>
      <c r="F577" t="inlineStr">
        <is>
          <t>正保琉球国悪鬼納島絵図写</t>
        </is>
      </c>
      <c r="G577" t="inlineStr"/>
      <c r="H577" t="inlineStr"/>
      <c r="I577" t="inlineStr">
        <is>
          <t>119</t>
        </is>
      </c>
      <c r="J577" t="inlineStr"/>
      <c r="K577" t="inlineStr">
        <is>
          <t>沖縄県糸満市名城</t>
        </is>
      </c>
      <c r="L577" s="1">
        <f>HYPERLINK("https://www.hi.u-tokyo.ac.jp/collection/degitalgallary/ryukyu/item/20184", "https://www.hi.u-tokyo.ac.jp/collection/degitalgallary/ryukyu/item/20184")</f>
        <v/>
      </c>
    </row>
    <row r="578">
      <c r="A578" t="inlineStr">
        <is>
          <t>20185</t>
        </is>
      </c>
      <c r="B578" t="inlineStr">
        <is>
          <t>歩渡り</t>
        </is>
      </c>
      <c r="C578" t="inlineStr">
        <is>
          <t>渡河点</t>
        </is>
      </c>
      <c r="D578" t="inlineStr"/>
      <c r="E578" t="inlineStr"/>
      <c r="F578" t="inlineStr">
        <is>
          <t>正保琉球国悪鬼納島絵図写</t>
        </is>
      </c>
      <c r="G578" t="inlineStr"/>
      <c r="H578" t="inlineStr"/>
      <c r="I578" t="inlineStr">
        <is>
          <t>120</t>
        </is>
      </c>
      <c r="J578" t="inlineStr"/>
      <c r="K578" t="inlineStr"/>
      <c r="L578" s="1">
        <f>HYPERLINK("https://www.hi.u-tokyo.ac.jp/collection/degitalgallary/ryukyu/item/20185", "https://www.hi.u-tokyo.ac.jp/collection/degitalgallary/ryukyu/item/20185")</f>
        <v/>
      </c>
    </row>
    <row r="579">
      <c r="A579" t="inlineStr">
        <is>
          <t>20186</t>
        </is>
      </c>
      <c r="B579" t="inlineStr">
        <is>
          <t>づゝ嶋</t>
        </is>
      </c>
      <c r="C579" t="inlineStr">
        <is>
          <t>島</t>
        </is>
      </c>
      <c r="D579" t="inlineStr">
        <is>
          <t>26.162850</t>
        </is>
      </c>
      <c r="E579" t="inlineStr">
        <is>
          <t>127.659651</t>
        </is>
      </c>
      <c r="F579" t="inlineStr">
        <is>
          <t>正保琉球国悪鬼納島絵図写</t>
        </is>
      </c>
      <c r="G579" t="inlineStr"/>
      <c r="H579" t="inlineStr"/>
      <c r="I579" t="inlineStr">
        <is>
          <t>121</t>
        </is>
      </c>
      <c r="J579" t="inlineStr"/>
      <c r="K579" t="inlineStr">
        <is>
          <t>沖縄県豊見城市与根</t>
        </is>
      </c>
      <c r="L579" s="1">
        <f>HYPERLINK("https://www.hi.u-tokyo.ac.jp/collection/degitalgallary/ryukyu/item/20186", "https://www.hi.u-tokyo.ac.jp/collection/degitalgallary/ryukyu/item/20186")</f>
        <v/>
      </c>
    </row>
    <row r="580">
      <c r="A580" t="inlineStr">
        <is>
          <t>20187</t>
        </is>
      </c>
      <c r="B580" t="inlineStr">
        <is>
          <t>せなか嶋</t>
        </is>
      </c>
      <c r="C580" t="inlineStr">
        <is>
          <t>島</t>
        </is>
      </c>
      <c r="D580" t="inlineStr">
        <is>
          <t>26.1748987</t>
        </is>
      </c>
      <c r="E580" t="inlineStr">
        <is>
          <t>127.6422368</t>
        </is>
      </c>
      <c r="F580" t="inlineStr">
        <is>
          <t>正保琉球国悪鬼納島絵図写</t>
        </is>
      </c>
      <c r="G580" t="inlineStr"/>
      <c r="H580" t="inlineStr"/>
      <c r="I580" t="inlineStr">
        <is>
          <t>122</t>
        </is>
      </c>
      <c r="J580" t="inlineStr"/>
      <c r="K580" t="inlineStr">
        <is>
          <t>沖縄県豊見城市瀬長</t>
        </is>
      </c>
      <c r="L580" s="1">
        <f>HYPERLINK("https://www.hi.u-tokyo.ac.jp/collection/degitalgallary/ryukyu/item/20187", "https://www.hi.u-tokyo.ac.jp/collection/degitalgallary/ryukyu/item/20187")</f>
        <v/>
      </c>
    </row>
    <row r="581">
      <c r="A581" t="inlineStr">
        <is>
          <t>20188</t>
        </is>
      </c>
      <c r="B581" t="inlineStr">
        <is>
          <t>崎はる崎</t>
        </is>
      </c>
      <c r="C581" t="inlineStr">
        <is>
          <t>崎</t>
        </is>
      </c>
      <c r="D581" t="inlineStr">
        <is>
          <t>26.214440</t>
        </is>
      </c>
      <c r="E581" t="inlineStr">
        <is>
          <t>127.650538</t>
        </is>
      </c>
      <c r="F581" t="inlineStr">
        <is>
          <t>正保琉球国悪鬼納島絵図写</t>
        </is>
      </c>
      <c r="G581" t="inlineStr"/>
      <c r="H581" t="inlineStr"/>
      <c r="I581" t="inlineStr">
        <is>
          <t>123</t>
        </is>
      </c>
      <c r="J581" t="inlineStr"/>
      <c r="K581" t="inlineStr">
        <is>
          <t>沖縄県那覇市鏡水</t>
        </is>
      </c>
      <c r="L581" s="1">
        <f>HYPERLINK("https://www.hi.u-tokyo.ac.jp/collection/degitalgallary/ryukyu/item/20188", "https://www.hi.u-tokyo.ac.jp/collection/degitalgallary/ryukyu/item/20188")</f>
        <v/>
      </c>
    </row>
    <row r="582">
      <c r="A582" t="inlineStr">
        <is>
          <t>20189</t>
        </is>
      </c>
      <c r="B582" t="inlineStr">
        <is>
          <t>那覇湊</t>
        </is>
      </c>
      <c r="C582" t="inlineStr">
        <is>
          <t>港湾</t>
        </is>
      </c>
      <c r="D582" t="inlineStr">
        <is>
          <t>26.2107757</t>
        </is>
      </c>
      <c r="E582" t="inlineStr">
        <is>
          <t>127.6701733</t>
        </is>
      </c>
      <c r="F582" t="inlineStr">
        <is>
          <t>正保琉球国悪鬼納島絵図写</t>
        </is>
      </c>
      <c r="G582" t="inlineStr">
        <is>
          <t>一、此那覇湊、入廿弐町、広さ壱町廿間、深さ三尋半
一、大船三拾艘程繋ル、干潮之時船入事不成
一、東風南風之時湊口船入事不成、湊内何風ニ而も船繋リ自由
一、那覇湊ヨリ長崎迄、海上三百里
一、右同湊ヨリ朝鮮国迄、海上四百五十里ト申伝候
一、右同湊ヨリ高砂かみのはな迄、海上弐百五十里ト申伝候、</t>
        </is>
      </c>
      <c r="H582" t="inlineStr"/>
      <c r="I582" t="inlineStr">
        <is>
          <t>124</t>
        </is>
      </c>
      <c r="J582" t="inlineStr"/>
      <c r="K582" t="inlineStr">
        <is>
          <t>沖縄県那覇市通堂町</t>
        </is>
      </c>
      <c r="L582" s="1">
        <f>HYPERLINK("https://www.hi.u-tokyo.ac.jp/collection/degitalgallary/ryukyu/item/20189", "https://www.hi.u-tokyo.ac.jp/collection/degitalgallary/ryukyu/item/20189")</f>
        <v/>
      </c>
    </row>
    <row r="583">
      <c r="A583" t="inlineStr">
        <is>
          <t>20190</t>
        </is>
      </c>
      <c r="B583" t="inlineStr">
        <is>
          <t>一町卅三間舟渡り</t>
        </is>
      </c>
      <c r="C583" t="inlineStr">
        <is>
          <t>航路</t>
        </is>
      </c>
      <c r="D583" t="inlineStr"/>
      <c r="E583" t="inlineStr"/>
      <c r="F583" t="inlineStr">
        <is>
          <t>正保琉球国悪鬼納島絵図写</t>
        </is>
      </c>
      <c r="G583" t="inlineStr"/>
      <c r="H583" t="inlineStr"/>
      <c r="I583" t="inlineStr">
        <is>
          <t>125</t>
        </is>
      </c>
      <c r="J583" t="inlineStr"/>
      <c r="K583" t="inlineStr"/>
      <c r="L583" s="1">
        <f>HYPERLINK("https://www.hi.u-tokyo.ac.jp/collection/degitalgallary/ryukyu/item/20190", "https://www.hi.u-tokyo.ac.jp/collection/degitalgallary/ryukyu/item/20190")</f>
        <v/>
      </c>
    </row>
    <row r="584">
      <c r="A584" t="inlineStr">
        <is>
          <t>20191</t>
        </is>
      </c>
      <c r="B584" t="inlineStr">
        <is>
          <t>波上権現</t>
        </is>
      </c>
      <c r="C584" t="inlineStr">
        <is>
          <t>寺社</t>
        </is>
      </c>
      <c r="D584" t="inlineStr">
        <is>
          <t>26.2203637</t>
        </is>
      </c>
      <c r="E584" t="inlineStr">
        <is>
          <t>127.6712072</t>
        </is>
      </c>
      <c r="F584" t="inlineStr">
        <is>
          <t>正保琉球国悪鬼納島絵図写</t>
        </is>
      </c>
      <c r="G584" t="inlineStr"/>
      <c r="H584" t="inlineStr"/>
      <c r="I584" t="inlineStr">
        <is>
          <t>126</t>
        </is>
      </c>
      <c r="J584" t="inlineStr"/>
      <c r="K584" t="inlineStr">
        <is>
          <t>沖縄県那覇市若狭</t>
        </is>
      </c>
      <c r="L584" s="1">
        <f>HYPERLINK("https://www.hi.u-tokyo.ac.jp/collection/degitalgallary/ryukyu/item/20191", "https://www.hi.u-tokyo.ac.jp/collection/degitalgallary/ryukyu/item/20191")</f>
        <v/>
      </c>
    </row>
    <row r="585">
      <c r="A585" t="inlineStr">
        <is>
          <t>20192</t>
        </is>
      </c>
      <c r="B585" t="inlineStr">
        <is>
          <t>nan</t>
        </is>
      </c>
      <c r="C585" t="inlineStr">
        <is>
          <t>図示</t>
        </is>
      </c>
      <c r="D585" t="inlineStr">
        <is>
          <t>26.211528</t>
        </is>
      </c>
      <c r="E585" t="inlineStr">
        <is>
          <t>127.663639</t>
        </is>
      </c>
      <c r="F585" t="inlineStr">
        <is>
          <t>正保琉球国悪鬼納島絵図写</t>
        </is>
      </c>
      <c r="G585" t="inlineStr"/>
      <c r="H585" t="inlineStr">
        <is>
          <t>屋良座森城</t>
        </is>
      </c>
      <c r="I585" t="inlineStr"/>
      <c r="J585" t="inlineStr"/>
      <c r="K585" t="inlineStr">
        <is>
          <t>沖縄県那覇市住吉町</t>
        </is>
      </c>
      <c r="L585" s="1">
        <f>HYPERLINK("https://www.hi.u-tokyo.ac.jp/collection/degitalgallary/ryukyu/item/20192", "https://www.hi.u-tokyo.ac.jp/collection/degitalgallary/ryukyu/item/20192")</f>
        <v/>
      </c>
    </row>
    <row r="586">
      <c r="A586" t="inlineStr">
        <is>
          <t>20193</t>
        </is>
      </c>
      <c r="B586" t="inlineStr">
        <is>
          <t>nan</t>
        </is>
      </c>
      <c r="C586" t="inlineStr">
        <is>
          <t>図示</t>
        </is>
      </c>
      <c r="D586" t="inlineStr">
        <is>
          <t>26.2138092</t>
        </is>
      </c>
      <c r="E586" t="inlineStr">
        <is>
          <t>127.6651184</t>
        </is>
      </c>
      <c r="F586" t="inlineStr">
        <is>
          <t>正保琉球国悪鬼納島絵図写</t>
        </is>
      </c>
      <c r="G586" t="inlineStr"/>
      <c r="H586" t="inlineStr">
        <is>
          <t>三重城</t>
        </is>
      </c>
      <c r="I586" t="inlineStr"/>
      <c r="J586" t="inlineStr"/>
      <c r="K586" t="inlineStr">
        <is>
          <t>沖縄県那覇市西</t>
        </is>
      </c>
      <c r="L586" s="1">
        <f>HYPERLINK("https://www.hi.u-tokyo.ac.jp/collection/degitalgallary/ryukyu/item/20193", "https://www.hi.u-tokyo.ac.jp/collection/degitalgallary/ryukyu/item/20193")</f>
        <v/>
      </c>
    </row>
    <row r="587">
      <c r="A587" t="inlineStr">
        <is>
          <t>20194</t>
        </is>
      </c>
      <c r="B587" t="inlineStr">
        <is>
          <t>nan</t>
        </is>
      </c>
      <c r="C587" t="inlineStr">
        <is>
          <t>図示</t>
        </is>
      </c>
      <c r="D587" t="inlineStr">
        <is>
          <t>26.208303</t>
        </is>
      </c>
      <c r="E587" t="inlineStr">
        <is>
          <t>127.671390</t>
        </is>
      </c>
      <c r="F587" t="inlineStr">
        <is>
          <t>正保琉球国悪鬼納島絵図写</t>
        </is>
      </c>
      <c r="G587" t="inlineStr"/>
      <c r="H587" t="inlineStr">
        <is>
          <t>御物城</t>
        </is>
      </c>
      <c r="I587" t="inlineStr"/>
      <c r="J587" t="inlineStr"/>
      <c r="K587" t="inlineStr">
        <is>
          <t>沖縄県那覇市垣花町</t>
        </is>
      </c>
      <c r="L587" s="1">
        <f>HYPERLINK("https://www.hi.u-tokyo.ac.jp/collection/degitalgallary/ryukyu/item/20194", "https://www.hi.u-tokyo.ac.jp/collection/degitalgallary/ryukyu/item/20194")</f>
        <v/>
      </c>
    </row>
    <row r="588">
      <c r="A588" t="inlineStr">
        <is>
          <t>20195</t>
        </is>
      </c>
      <c r="B588" t="inlineStr">
        <is>
          <t>nan</t>
        </is>
      </c>
      <c r="C588" t="inlineStr">
        <is>
          <t>図示</t>
        </is>
      </c>
      <c r="D588" t="inlineStr">
        <is>
          <t>26.189237</t>
        </is>
      </c>
      <c r="E588" t="inlineStr">
        <is>
          <t>127.685121</t>
        </is>
      </c>
      <c r="F588" t="inlineStr">
        <is>
          <t>正保琉球国悪鬼納島絵図写</t>
        </is>
      </c>
      <c r="G588" t="inlineStr"/>
      <c r="H588" t="inlineStr">
        <is>
          <t>豊見城</t>
        </is>
      </c>
      <c r="I588" t="inlineStr"/>
      <c r="J588" t="inlineStr"/>
      <c r="K588" t="inlineStr">
        <is>
          <t>沖縄県豊見城市豊見城</t>
        </is>
      </c>
      <c r="L588" s="1">
        <f>HYPERLINK("https://www.hi.u-tokyo.ac.jp/collection/degitalgallary/ryukyu/item/20195", "https://www.hi.u-tokyo.ac.jp/collection/degitalgallary/ryukyu/item/20195")</f>
        <v/>
      </c>
    </row>
    <row r="589">
      <c r="A589" t="inlineStr">
        <is>
          <t>20196</t>
        </is>
      </c>
      <c r="B589" t="inlineStr">
        <is>
          <t>nan</t>
        </is>
      </c>
      <c r="C589" t="inlineStr">
        <is>
          <t>図示</t>
        </is>
      </c>
      <c r="D589" t="inlineStr">
        <is>
          <t>26.229076</t>
        </is>
      </c>
      <c r="E589" t="inlineStr">
        <is>
          <t>127.682057</t>
        </is>
      </c>
      <c r="F589" t="inlineStr">
        <is>
          <t>正保琉球国悪鬼納島絵図写</t>
        </is>
      </c>
      <c r="G589" t="inlineStr"/>
      <c r="H589" t="inlineStr">
        <is>
          <t>天久権現</t>
        </is>
      </c>
      <c r="I589" t="inlineStr"/>
      <c r="J589" t="inlineStr"/>
      <c r="K589" t="inlineStr">
        <is>
          <t>沖縄県那覇市上之屋</t>
        </is>
      </c>
      <c r="L589" s="1">
        <f>HYPERLINK("https://www.hi.u-tokyo.ac.jp/collection/degitalgallary/ryukyu/item/20196", "https://www.hi.u-tokyo.ac.jp/collection/degitalgallary/ryukyu/item/20196")</f>
        <v/>
      </c>
    </row>
    <row r="590">
      <c r="A590" t="inlineStr">
        <is>
          <t>20197</t>
        </is>
      </c>
      <c r="B590" t="inlineStr">
        <is>
          <t>nan</t>
        </is>
      </c>
      <c r="C590" t="inlineStr">
        <is>
          <t>図示</t>
        </is>
      </c>
      <c r="D590" t="inlineStr">
        <is>
          <t>26.227757</t>
        </is>
      </c>
      <c r="E590" t="inlineStr">
        <is>
          <t>127.682768</t>
        </is>
      </c>
      <c r="F590" t="inlineStr">
        <is>
          <t>正保琉球国悪鬼納島絵図写</t>
        </is>
      </c>
      <c r="G590" t="inlineStr"/>
      <c r="H590" t="inlineStr">
        <is>
          <t>聖現寺</t>
        </is>
      </c>
      <c r="I590" t="inlineStr"/>
      <c r="J590" t="inlineStr"/>
      <c r="K590" t="inlineStr">
        <is>
          <t>沖縄県那覇市泊</t>
        </is>
      </c>
      <c r="L590" s="1">
        <f>HYPERLINK("https://www.hi.u-tokyo.ac.jp/collection/degitalgallary/ryukyu/item/20197", "https://www.hi.u-tokyo.ac.jp/collection/degitalgallary/ryukyu/item/20197")</f>
        <v/>
      </c>
    </row>
    <row r="591">
      <c r="A591" t="inlineStr">
        <is>
          <t>20198</t>
        </is>
      </c>
      <c r="B591" t="inlineStr">
        <is>
          <t>nan</t>
        </is>
      </c>
      <c r="C591" t="inlineStr">
        <is>
          <t>図示</t>
        </is>
      </c>
      <c r="D591" t="inlineStr">
        <is>
          <t>26.226030</t>
        </is>
      </c>
      <c r="E591" t="inlineStr">
        <is>
          <t>127.685465</t>
        </is>
      </c>
      <c r="F591" t="inlineStr">
        <is>
          <t>正保琉球国悪鬼納島絵図写</t>
        </is>
      </c>
      <c r="G591" t="inlineStr"/>
      <c r="H591" t="inlineStr">
        <is>
          <t>泊御殿</t>
        </is>
      </c>
      <c r="I591" t="inlineStr"/>
      <c r="J591" t="inlineStr"/>
      <c r="K591" t="inlineStr">
        <is>
          <t>沖縄県那覇市泊</t>
        </is>
      </c>
      <c r="L591" s="1">
        <f>HYPERLINK("https://www.hi.u-tokyo.ac.jp/collection/degitalgallary/ryukyu/item/20198", "https://www.hi.u-tokyo.ac.jp/collection/degitalgallary/ryukyu/item/20198")</f>
        <v/>
      </c>
    </row>
    <row r="592">
      <c r="A592" t="inlineStr">
        <is>
          <t>20199</t>
        </is>
      </c>
      <c r="B592" t="inlineStr">
        <is>
          <t>橋有</t>
        </is>
      </c>
      <c r="C592" t="inlineStr">
        <is>
          <t>渡河点</t>
        </is>
      </c>
      <c r="D592" t="inlineStr"/>
      <c r="E592" t="inlineStr"/>
      <c r="F592" t="inlineStr">
        <is>
          <t>正保琉球国悪鬼納島絵図写</t>
        </is>
      </c>
      <c r="G592" t="inlineStr"/>
      <c r="H592" t="inlineStr">
        <is>
          <t>※橋のアイコンは確認済</t>
        </is>
      </c>
      <c r="I592" t="inlineStr">
        <is>
          <t>127</t>
        </is>
      </c>
      <c r="J592" t="inlineStr"/>
      <c r="K592" t="inlineStr"/>
      <c r="L592" s="1">
        <f>HYPERLINK("https://www.hi.u-tokyo.ac.jp/collection/degitalgallary/ryukyu/item/20199", "https://www.hi.u-tokyo.ac.jp/collection/degitalgallary/ryukyu/item/20199")</f>
        <v/>
      </c>
    </row>
    <row r="593">
      <c r="A593" t="inlineStr">
        <is>
          <t>20200</t>
        </is>
      </c>
      <c r="B593" t="inlineStr">
        <is>
          <t>橋有</t>
        </is>
      </c>
      <c r="C593" t="inlineStr">
        <is>
          <t>渡河点</t>
        </is>
      </c>
      <c r="D593" t="inlineStr"/>
      <c r="E593" t="inlineStr"/>
      <c r="F593" t="inlineStr">
        <is>
          <t>正保琉球国悪鬼納島絵図写</t>
        </is>
      </c>
      <c r="G593" t="inlineStr"/>
      <c r="H593" t="inlineStr">
        <is>
          <t>※橋のアイコンは確認済</t>
        </is>
      </c>
      <c r="I593" t="inlineStr">
        <is>
          <t>128</t>
        </is>
      </c>
      <c r="J593" t="inlineStr"/>
      <c r="K593" t="inlineStr"/>
      <c r="L593" s="1">
        <f>HYPERLINK("https://www.hi.u-tokyo.ac.jp/collection/degitalgallary/ryukyu/item/20200", "https://www.hi.u-tokyo.ac.jp/collection/degitalgallary/ryukyu/item/20200")</f>
        <v/>
      </c>
    </row>
    <row r="594">
      <c r="A594" t="inlineStr">
        <is>
          <t>20201</t>
        </is>
      </c>
      <c r="B594" t="inlineStr">
        <is>
          <t>小湾小川</t>
        </is>
      </c>
      <c r="C594" t="inlineStr">
        <is>
          <t>港湾</t>
        </is>
      </c>
      <c r="D594" t="inlineStr">
        <is>
          <t>26.2541464</t>
        </is>
      </c>
      <c r="E594" t="inlineStr">
        <is>
          <t>127.6878766</t>
        </is>
      </c>
      <c r="F594" t="inlineStr">
        <is>
          <t>正保琉球国悪鬼納島絵図写</t>
        </is>
      </c>
      <c r="G594" t="inlineStr">
        <is>
          <t>広さ十二間、深さ六尺、船出入不自由</t>
        </is>
      </c>
      <c r="H594" t="inlineStr"/>
      <c r="I594" t="inlineStr">
        <is>
          <t>129</t>
        </is>
      </c>
      <c r="J594" t="inlineStr"/>
      <c r="K594" t="inlineStr">
        <is>
          <t>沖縄県浦添市西洲</t>
        </is>
      </c>
      <c r="L594" s="1">
        <f>HYPERLINK("https://www.hi.u-tokyo.ac.jp/collection/degitalgallary/ryukyu/item/20201", "https://www.hi.u-tokyo.ac.jp/collection/degitalgallary/ryukyu/item/20201")</f>
        <v/>
      </c>
    </row>
    <row r="595">
      <c r="A595" t="inlineStr">
        <is>
          <t>20202</t>
        </is>
      </c>
      <c r="B595" t="inlineStr">
        <is>
          <t>まひ湊入江</t>
        </is>
      </c>
      <c r="C595" t="inlineStr">
        <is>
          <t>港湾</t>
        </is>
      </c>
      <c r="D595" t="inlineStr">
        <is>
          <t>26.2649583</t>
        </is>
      </c>
      <c r="E595" t="inlineStr">
        <is>
          <t>127.728419</t>
        </is>
      </c>
      <c r="F595" t="inlineStr">
        <is>
          <t>正保琉球国悪鬼納島絵図写</t>
        </is>
      </c>
      <c r="G595" t="inlineStr">
        <is>
          <t>広さ四拾弐間、船出入不自由</t>
        </is>
      </c>
      <c r="H595" t="inlineStr"/>
      <c r="I595" t="inlineStr">
        <is>
          <t>130</t>
        </is>
      </c>
      <c r="J595" t="inlineStr"/>
      <c r="K595" t="inlineStr">
        <is>
          <t>沖縄県浦添市牧港</t>
        </is>
      </c>
      <c r="L595" s="1">
        <f>HYPERLINK("https://www.hi.u-tokyo.ac.jp/collection/degitalgallary/ryukyu/item/20202", "https://www.hi.u-tokyo.ac.jp/collection/degitalgallary/ryukyu/item/20202")</f>
        <v/>
      </c>
    </row>
    <row r="596">
      <c r="A596" t="inlineStr">
        <is>
          <t>20203</t>
        </is>
      </c>
      <c r="B596" t="inlineStr">
        <is>
          <t>橋有</t>
        </is>
      </c>
      <c r="C596" t="inlineStr">
        <is>
          <t>渡河点</t>
        </is>
      </c>
      <c r="D596" t="inlineStr"/>
      <c r="E596" t="inlineStr"/>
      <c r="F596" t="inlineStr">
        <is>
          <t>正保琉球国悪鬼納島絵図写</t>
        </is>
      </c>
      <c r="G596" t="inlineStr"/>
      <c r="H596" t="inlineStr">
        <is>
          <t>※橋のアイコンは確認済</t>
        </is>
      </c>
      <c r="I596" t="inlineStr">
        <is>
          <t>131</t>
        </is>
      </c>
      <c r="J596" t="inlineStr"/>
      <c r="K596" t="inlineStr"/>
      <c r="L596" s="1">
        <f>HYPERLINK("https://www.hi.u-tokyo.ac.jp/collection/degitalgallary/ryukyu/item/20203", "https://www.hi.u-tokyo.ac.jp/collection/degitalgallary/ryukyu/item/20203")</f>
        <v/>
      </c>
    </row>
    <row r="597">
      <c r="A597" t="inlineStr">
        <is>
          <t>20204</t>
        </is>
      </c>
      <c r="B597" t="inlineStr">
        <is>
          <t>橋有</t>
        </is>
      </c>
      <c r="C597" t="inlineStr">
        <is>
          <t>渡河点</t>
        </is>
      </c>
      <c r="D597" t="inlineStr"/>
      <c r="E597" t="inlineStr"/>
      <c r="F597" t="inlineStr">
        <is>
          <t>正保琉球国悪鬼納島絵図写</t>
        </is>
      </c>
      <c r="G597" t="inlineStr"/>
      <c r="H597" t="inlineStr">
        <is>
          <t>※橋のアイコンは確認済</t>
        </is>
      </c>
      <c r="I597" t="inlineStr">
        <is>
          <t>132</t>
        </is>
      </c>
      <c r="J597" t="inlineStr"/>
      <c r="K597" t="inlineStr"/>
      <c r="L597" s="1">
        <f>HYPERLINK("https://www.hi.u-tokyo.ac.jp/collection/degitalgallary/ryukyu/item/20204", "https://www.hi.u-tokyo.ac.jp/collection/degitalgallary/ryukyu/item/20204")</f>
        <v/>
      </c>
    </row>
    <row r="598">
      <c r="A598" t="inlineStr">
        <is>
          <t>20205</t>
        </is>
      </c>
      <c r="B598" t="inlineStr">
        <is>
          <t>那覇湊ヨリ計羅摩嶋迄、海上七里酉之方ニ当ル</t>
        </is>
      </c>
      <c r="C598" t="inlineStr">
        <is>
          <t>航路</t>
        </is>
      </c>
      <c r="D598" t="inlineStr"/>
      <c r="E598" t="inlineStr"/>
      <c r="F598" t="inlineStr">
        <is>
          <t>正保琉球国悪鬼納島絵図写</t>
        </is>
      </c>
      <c r="G598" t="inlineStr"/>
      <c r="H598" t="inlineStr"/>
      <c r="I598" t="inlineStr">
        <is>
          <t>133</t>
        </is>
      </c>
      <c r="J598" t="inlineStr"/>
      <c r="K598" t="inlineStr"/>
      <c r="L598" s="1">
        <f>HYPERLINK("https://www.hi.u-tokyo.ac.jp/collection/degitalgallary/ryukyu/item/20205", "https://www.hi.u-tokyo.ac.jp/collection/degitalgallary/ryukyu/item/20205")</f>
        <v/>
      </c>
    </row>
    <row r="599">
      <c r="A599" t="inlineStr">
        <is>
          <t>20206</t>
        </is>
      </c>
      <c r="B599" t="inlineStr">
        <is>
          <t>けい嶋</t>
        </is>
      </c>
      <c r="C599" t="inlineStr">
        <is>
          <t>島</t>
        </is>
      </c>
      <c r="D599" t="inlineStr">
        <is>
          <t>26.2622016</t>
        </is>
      </c>
      <c r="E599" t="inlineStr">
        <is>
          <t>127.5824222</t>
        </is>
      </c>
      <c r="F599" t="inlineStr">
        <is>
          <t>正保琉球国悪鬼納島絵図写</t>
        </is>
      </c>
      <c r="G599" t="inlineStr">
        <is>
          <t>無人居</t>
        </is>
      </c>
      <c r="H599" t="inlineStr"/>
      <c r="I599" t="inlineStr">
        <is>
          <t>134</t>
        </is>
      </c>
      <c r="J599" t="inlineStr"/>
      <c r="K599" t="inlineStr">
        <is>
          <t>沖縄県島尻郡渡嘉敷村前島</t>
        </is>
      </c>
      <c r="L599" s="1">
        <f>HYPERLINK("https://www.hi.u-tokyo.ac.jp/collection/degitalgallary/ryukyu/item/20206", "https://www.hi.u-tokyo.ac.jp/collection/degitalgallary/ryukyu/item/20206")</f>
        <v/>
      </c>
    </row>
    <row r="600">
      <c r="A600" t="inlineStr">
        <is>
          <t>20207</t>
        </is>
      </c>
      <c r="B600" t="inlineStr">
        <is>
          <t>大いふ嶋</t>
        </is>
      </c>
      <c r="C600" t="inlineStr">
        <is>
          <t>島</t>
        </is>
      </c>
      <c r="D600" t="inlineStr">
        <is>
          <t>26.2664624</t>
        </is>
      </c>
      <c r="E600" t="inlineStr">
        <is>
          <t>127.5437486</t>
        </is>
      </c>
      <c r="F600" t="inlineStr">
        <is>
          <t>正保琉球国悪鬼納島絵図写</t>
        </is>
      </c>
      <c r="G600" t="inlineStr">
        <is>
          <t>無人居</t>
        </is>
      </c>
      <c r="H600" t="inlineStr"/>
      <c r="I600" t="inlineStr">
        <is>
          <t>135</t>
        </is>
      </c>
      <c r="J600" t="inlineStr"/>
      <c r="K600" t="inlineStr">
        <is>
          <t>沖縄県島尻郡渡嘉敷村前島</t>
        </is>
      </c>
      <c r="L600" s="1">
        <f>HYPERLINK("https://www.hi.u-tokyo.ac.jp/collection/degitalgallary/ryukyu/item/20207", "https://www.hi.u-tokyo.ac.jp/collection/degitalgallary/ryukyu/item/20207")</f>
        <v/>
      </c>
    </row>
    <row r="601">
      <c r="A601" t="inlineStr">
        <is>
          <t>20208</t>
        </is>
      </c>
      <c r="B601" t="inlineStr">
        <is>
          <t>前けらま嶋</t>
        </is>
      </c>
      <c r="C601" t="inlineStr">
        <is>
          <t>島</t>
        </is>
      </c>
      <c r="D601" t="inlineStr">
        <is>
          <t>26.2140161</t>
        </is>
      </c>
      <c r="E601" t="inlineStr">
        <is>
          <t>127.4481295</t>
        </is>
      </c>
      <c r="F601" t="inlineStr">
        <is>
          <t>正保琉球国悪鬼納島絵図写</t>
        </is>
      </c>
      <c r="G601" t="inlineStr">
        <is>
          <t>人居有
嶋廻二十五町</t>
        </is>
      </c>
      <c r="H601" t="inlineStr"/>
      <c r="I601" t="inlineStr">
        <is>
          <t>136</t>
        </is>
      </c>
      <c r="J601" t="inlineStr"/>
      <c r="K601" t="inlineStr">
        <is>
          <t>沖縄県島尻郡渡嘉敷村前島</t>
        </is>
      </c>
      <c r="L601" s="1">
        <f>HYPERLINK("https://www.hi.u-tokyo.ac.jp/collection/degitalgallary/ryukyu/item/20208", "https://www.hi.u-tokyo.ac.jp/collection/degitalgallary/ryukyu/item/20208")</f>
        <v/>
      </c>
    </row>
    <row r="602">
      <c r="A602" t="inlineStr">
        <is>
          <t>20209</t>
        </is>
      </c>
      <c r="B602" t="inlineStr">
        <is>
          <t>黒嶋</t>
        </is>
      </c>
      <c r="C602" t="inlineStr">
        <is>
          <t>島</t>
        </is>
      </c>
      <c r="D602" t="inlineStr">
        <is>
          <t>26.2517472</t>
        </is>
      </c>
      <c r="E602" t="inlineStr">
        <is>
          <t>127.4047547</t>
        </is>
      </c>
      <c r="F602" t="inlineStr">
        <is>
          <t>正保琉球国悪鬼納島絵図写</t>
        </is>
      </c>
      <c r="G602" t="inlineStr">
        <is>
          <t>けらま嶋内
無人居</t>
        </is>
      </c>
      <c r="H602" t="inlineStr"/>
      <c r="I602" t="inlineStr">
        <is>
          <t>137</t>
        </is>
      </c>
      <c r="J602" t="inlineStr"/>
      <c r="K602" t="inlineStr">
        <is>
          <t>沖縄県島尻郡渡嘉敷村前島</t>
        </is>
      </c>
      <c r="L602" s="1">
        <f>HYPERLINK("https://www.hi.u-tokyo.ac.jp/collection/degitalgallary/ryukyu/item/20209", "https://www.hi.u-tokyo.ac.jp/collection/degitalgallary/ryukyu/item/20209")</f>
        <v/>
      </c>
    </row>
    <row r="603">
      <c r="A603" t="inlineStr">
        <is>
          <t>20210</t>
        </is>
      </c>
      <c r="B603" t="inlineStr">
        <is>
          <t>船かゝり不成</t>
        </is>
      </c>
      <c r="C603" t="inlineStr">
        <is>
          <t>港湾</t>
        </is>
      </c>
      <c r="D603" t="inlineStr"/>
      <c r="E603" t="inlineStr"/>
      <c r="F603" t="inlineStr">
        <is>
          <t>正保琉球国悪鬼納島絵図写</t>
        </is>
      </c>
      <c r="G603" t="inlineStr"/>
      <c r="H603" t="inlineStr"/>
      <c r="I603" t="inlineStr">
        <is>
          <t>138</t>
        </is>
      </c>
      <c r="J603" t="inlineStr"/>
      <c r="K603" t="inlineStr"/>
      <c r="L603" s="1">
        <f>HYPERLINK("https://www.hi.u-tokyo.ac.jp/collection/degitalgallary/ryukyu/item/20210", "https://www.hi.u-tokyo.ac.jp/collection/degitalgallary/ryukyu/item/20210")</f>
        <v/>
      </c>
    </row>
    <row r="604">
      <c r="A604" t="inlineStr">
        <is>
          <t>20211</t>
        </is>
      </c>
      <c r="B604" t="inlineStr">
        <is>
          <t>けらま嶋ヨリ赤嶋迄、海上十壱里</t>
        </is>
      </c>
      <c r="C604" t="inlineStr">
        <is>
          <t>航路</t>
        </is>
      </c>
      <c r="D604" t="inlineStr"/>
      <c r="E604" t="inlineStr"/>
      <c r="F604" t="inlineStr">
        <is>
          <t>正保琉球国悪鬼納島絵図写</t>
        </is>
      </c>
      <c r="G604" t="inlineStr"/>
      <c r="H604" t="inlineStr"/>
      <c r="I604" t="inlineStr">
        <is>
          <t>139</t>
        </is>
      </c>
      <c r="J604" t="inlineStr"/>
      <c r="K604" t="inlineStr"/>
      <c r="L604" s="1">
        <f>HYPERLINK("https://www.hi.u-tokyo.ac.jp/collection/degitalgallary/ryukyu/item/20211", "https://www.hi.u-tokyo.ac.jp/collection/degitalgallary/ryukyu/item/20211")</f>
        <v/>
      </c>
    </row>
    <row r="605">
      <c r="A605" t="inlineStr">
        <is>
          <t>20212</t>
        </is>
      </c>
      <c r="B605" t="inlineStr">
        <is>
          <t>此間十八町</t>
        </is>
      </c>
      <c r="C605" t="inlineStr">
        <is>
          <t>その他</t>
        </is>
      </c>
      <c r="D605" t="inlineStr"/>
      <c r="E605" t="inlineStr"/>
      <c r="F605" t="inlineStr">
        <is>
          <t>正保琉球国悪鬼納島絵図写</t>
        </is>
      </c>
      <c r="G605" t="inlineStr"/>
      <c r="H605" t="inlineStr"/>
      <c r="I605" t="inlineStr">
        <is>
          <t>140</t>
        </is>
      </c>
      <c r="J605" t="inlineStr"/>
      <c r="K605" t="inlineStr"/>
      <c r="L605" s="1">
        <f>HYPERLINK("https://www.hi.u-tokyo.ac.jp/collection/degitalgallary/ryukyu/item/20212", "https://www.hi.u-tokyo.ac.jp/collection/degitalgallary/ryukyu/item/20212")</f>
        <v/>
      </c>
    </row>
    <row r="606">
      <c r="A606" t="inlineStr">
        <is>
          <t>20213</t>
        </is>
      </c>
      <c r="B606" t="inlineStr">
        <is>
          <t>此間壱里</t>
        </is>
      </c>
      <c r="C606" t="inlineStr">
        <is>
          <t>その他</t>
        </is>
      </c>
      <c r="D606" t="inlineStr"/>
      <c r="E606" t="inlineStr"/>
      <c r="F606" t="inlineStr">
        <is>
          <t>正保琉球国悪鬼納島絵図写</t>
        </is>
      </c>
      <c r="G606" t="inlineStr"/>
      <c r="H606" t="inlineStr"/>
      <c r="I606" t="inlineStr">
        <is>
          <t>141</t>
        </is>
      </c>
      <c r="J606" t="inlineStr"/>
      <c r="K606" t="inlineStr"/>
      <c r="L606" s="1">
        <f>HYPERLINK("https://www.hi.u-tokyo.ac.jp/collection/degitalgallary/ryukyu/item/20213", "https://www.hi.u-tokyo.ac.jp/collection/degitalgallary/ryukyu/item/20213")</f>
        <v/>
      </c>
    </row>
    <row r="607">
      <c r="A607" t="inlineStr">
        <is>
          <t>20214</t>
        </is>
      </c>
      <c r="B607" t="inlineStr">
        <is>
          <t>安室嶋</t>
        </is>
      </c>
      <c r="C607" t="inlineStr">
        <is>
          <t>島</t>
        </is>
      </c>
      <c r="D607" t="inlineStr">
        <is>
          <t>26.2048303</t>
        </is>
      </c>
      <c r="E607" t="inlineStr">
        <is>
          <t>127.3119103</t>
        </is>
      </c>
      <c r="F607" t="inlineStr">
        <is>
          <t>正保琉球国悪鬼納島絵図写</t>
        </is>
      </c>
      <c r="G607" t="inlineStr">
        <is>
          <t>けらま嶋内
人居なし</t>
        </is>
      </c>
      <c r="H607" t="inlineStr"/>
      <c r="I607" t="inlineStr">
        <is>
          <t>142</t>
        </is>
      </c>
      <c r="J607" t="inlineStr"/>
      <c r="K607" t="inlineStr">
        <is>
          <t>沖縄県島尻郡座間味村座間味</t>
        </is>
      </c>
      <c r="L607" s="1">
        <f>HYPERLINK("https://www.hi.u-tokyo.ac.jp/collection/degitalgallary/ryukyu/item/20214", "https://www.hi.u-tokyo.ac.jp/collection/degitalgallary/ryukyu/item/20214")</f>
        <v/>
      </c>
    </row>
    <row r="608">
      <c r="A608" t="inlineStr">
        <is>
          <t>20215</t>
        </is>
      </c>
      <c r="B608" t="inlineStr">
        <is>
          <t>あけなそこ</t>
        </is>
      </c>
      <c r="C608" t="inlineStr">
        <is>
          <t>島</t>
        </is>
      </c>
      <c r="D608" t="inlineStr">
        <is>
          <t>26.2153377</t>
        </is>
      </c>
      <c r="E608" t="inlineStr">
        <is>
          <t>127.2948646</t>
        </is>
      </c>
      <c r="F608" t="inlineStr">
        <is>
          <t>正保琉球国悪鬼納島絵図写</t>
        </is>
      </c>
      <c r="G608" t="inlineStr"/>
      <c r="H608" t="inlineStr"/>
      <c r="I608" t="inlineStr">
        <is>
          <t>143</t>
        </is>
      </c>
      <c r="J608" t="inlineStr"/>
      <c r="K608" t="inlineStr">
        <is>
          <t>沖縄県島尻郡座間味村座間味</t>
        </is>
      </c>
      <c r="L608" s="1">
        <f>HYPERLINK("https://www.hi.u-tokyo.ac.jp/collection/degitalgallary/ryukyu/item/20215", "https://www.hi.u-tokyo.ac.jp/collection/degitalgallary/ryukyu/item/20215")</f>
        <v/>
      </c>
    </row>
    <row r="609">
      <c r="A609" t="inlineStr">
        <is>
          <t>20216</t>
        </is>
      </c>
      <c r="B609" t="inlineStr">
        <is>
          <t>此間十八町</t>
        </is>
      </c>
      <c r="C609" t="inlineStr">
        <is>
          <t>その他</t>
        </is>
      </c>
      <c r="D609" t="inlineStr"/>
      <c r="E609" t="inlineStr"/>
      <c r="F609" t="inlineStr">
        <is>
          <t>正保琉球国悪鬼納島絵図写</t>
        </is>
      </c>
      <c r="G609" t="inlineStr"/>
      <c r="H609" t="inlineStr"/>
      <c r="I609" t="inlineStr">
        <is>
          <t>144</t>
        </is>
      </c>
      <c r="J609" t="inlineStr"/>
      <c r="K609" t="inlineStr"/>
      <c r="L609" s="1">
        <f>HYPERLINK("https://www.hi.u-tokyo.ac.jp/collection/degitalgallary/ryukyu/item/20216", "https://www.hi.u-tokyo.ac.jp/collection/degitalgallary/ryukyu/item/20216")</f>
        <v/>
      </c>
    </row>
    <row r="610">
      <c r="A610" t="inlineStr">
        <is>
          <t>20217</t>
        </is>
      </c>
      <c r="B610" t="inlineStr">
        <is>
          <t>かび嶋</t>
        </is>
      </c>
      <c r="C610" t="inlineStr">
        <is>
          <t>島</t>
        </is>
      </c>
      <c r="D610" t="inlineStr">
        <is>
          <t>26.2183772</t>
        </is>
      </c>
      <c r="E610" t="inlineStr">
        <is>
          <t>127.2858387</t>
        </is>
      </c>
      <c r="F610" t="inlineStr">
        <is>
          <t>正保琉球国悪鬼納島絵図写</t>
        </is>
      </c>
      <c r="G610" t="inlineStr"/>
      <c r="H610" t="inlineStr"/>
      <c r="I610" t="inlineStr">
        <is>
          <t>145</t>
        </is>
      </c>
      <c r="J610" t="inlineStr"/>
      <c r="K610" t="inlineStr">
        <is>
          <t>沖縄県島尻郡座間味村座間味</t>
        </is>
      </c>
      <c r="L610" s="1">
        <f>HYPERLINK("https://www.hi.u-tokyo.ac.jp/collection/degitalgallary/ryukyu/item/20217", "https://www.hi.u-tokyo.ac.jp/collection/degitalgallary/ryukyu/item/20217")</f>
        <v/>
      </c>
    </row>
    <row r="611">
      <c r="A611" t="inlineStr">
        <is>
          <t>20218</t>
        </is>
      </c>
      <c r="B611" t="inlineStr">
        <is>
          <t>船かゝり不成</t>
        </is>
      </c>
      <c r="C611" t="inlineStr">
        <is>
          <t>港湾</t>
        </is>
      </c>
      <c r="D611" t="inlineStr"/>
      <c r="E611" t="inlineStr"/>
      <c r="F611" t="inlineStr">
        <is>
          <t>正保琉球国悪鬼納島絵図写</t>
        </is>
      </c>
      <c r="G611" t="inlineStr"/>
      <c r="H611" t="inlineStr"/>
      <c r="I611" t="inlineStr">
        <is>
          <t>146</t>
        </is>
      </c>
      <c r="J611" t="inlineStr"/>
      <c r="K611" t="inlineStr"/>
      <c r="L611" s="1">
        <f>HYPERLINK("https://www.hi.u-tokyo.ac.jp/collection/degitalgallary/ryukyu/item/20218", "https://www.hi.u-tokyo.ac.jp/collection/degitalgallary/ryukyu/item/20218")</f>
        <v/>
      </c>
    </row>
    <row r="612">
      <c r="A612" t="inlineStr">
        <is>
          <t>20219</t>
        </is>
      </c>
      <c r="B612" t="inlineStr">
        <is>
          <t>此間一町半</t>
        </is>
      </c>
      <c r="C612" t="inlineStr">
        <is>
          <t>その他</t>
        </is>
      </c>
      <c r="D612" t="inlineStr"/>
      <c r="E612" t="inlineStr"/>
      <c r="F612" t="inlineStr">
        <is>
          <t>正保琉球国悪鬼納島絵図写</t>
        </is>
      </c>
      <c r="G612" t="inlineStr"/>
      <c r="H612" t="inlineStr"/>
      <c r="I612" t="inlineStr">
        <is>
          <t>147</t>
        </is>
      </c>
      <c r="J612" t="inlineStr"/>
      <c r="K612" t="inlineStr"/>
      <c r="L612" s="1">
        <f>HYPERLINK("https://www.hi.u-tokyo.ac.jp/collection/degitalgallary/ryukyu/item/20219", "https://www.hi.u-tokyo.ac.jp/collection/degitalgallary/ryukyu/item/20219")</f>
        <v/>
      </c>
    </row>
    <row r="613">
      <c r="A613" t="inlineStr">
        <is>
          <t>20220</t>
        </is>
      </c>
      <c r="B613" t="inlineStr">
        <is>
          <t>げるま嶋</t>
        </is>
      </c>
      <c r="C613" t="inlineStr">
        <is>
          <t>島</t>
        </is>
      </c>
      <c r="D613" t="inlineStr">
        <is>
          <t>26.1826726</t>
        </is>
      </c>
      <c r="E613" t="inlineStr">
        <is>
          <t>127.2891818</t>
        </is>
      </c>
      <c r="F613" t="inlineStr">
        <is>
          <t>正保琉球国悪鬼納島絵図写</t>
        </is>
      </c>
      <c r="G613" t="inlineStr">
        <is>
          <t>けらま嶋之内
人居有
嶋廻廿弐町</t>
        </is>
      </c>
      <c r="H613" t="inlineStr"/>
      <c r="I613" t="inlineStr">
        <is>
          <t>148</t>
        </is>
      </c>
      <c r="J613" t="inlineStr"/>
      <c r="K613" t="inlineStr">
        <is>
          <t>沖縄県島尻郡座間味村慶留間</t>
        </is>
      </c>
      <c r="L613" s="1">
        <f>HYPERLINK("https://www.hi.u-tokyo.ac.jp/collection/degitalgallary/ryukyu/item/20220", "https://www.hi.u-tokyo.ac.jp/collection/degitalgallary/ryukyu/item/20220")</f>
        <v/>
      </c>
    </row>
    <row r="614">
      <c r="A614" t="inlineStr">
        <is>
          <t>20221</t>
        </is>
      </c>
      <c r="B614" t="inlineStr">
        <is>
          <t>此間一町</t>
        </is>
      </c>
      <c r="C614" t="inlineStr">
        <is>
          <t>その他</t>
        </is>
      </c>
      <c r="D614" t="inlineStr"/>
      <c r="E614" t="inlineStr"/>
      <c r="F614" t="inlineStr">
        <is>
          <t>正保琉球国悪鬼納島絵図写</t>
        </is>
      </c>
      <c r="G614" t="inlineStr"/>
      <c r="H614" t="inlineStr"/>
      <c r="I614" t="inlineStr">
        <is>
          <t>149</t>
        </is>
      </c>
      <c r="J614" t="inlineStr"/>
      <c r="K614" t="inlineStr"/>
      <c r="L614" s="1">
        <f>HYPERLINK("https://www.hi.u-tokyo.ac.jp/collection/degitalgallary/ryukyu/item/20221", "https://www.hi.u-tokyo.ac.jp/collection/degitalgallary/ryukyu/item/20221")</f>
        <v/>
      </c>
    </row>
    <row r="615">
      <c r="A615" t="inlineStr">
        <is>
          <t>20222</t>
        </is>
      </c>
      <c r="B615" t="inlineStr">
        <is>
          <t>もからく嶋</t>
        </is>
      </c>
      <c r="C615" t="inlineStr">
        <is>
          <t>島</t>
        </is>
      </c>
      <c r="D615" t="inlineStr">
        <is>
          <t>26.1675842</t>
        </is>
      </c>
      <c r="E615" t="inlineStr">
        <is>
          <t>127.2931932</t>
        </is>
      </c>
      <c r="F615" t="inlineStr">
        <is>
          <t>正保琉球国悪鬼納島絵図写</t>
        </is>
      </c>
      <c r="G615" t="inlineStr">
        <is>
          <t>けらま嶋之内
無人居</t>
        </is>
      </c>
      <c r="H615" t="inlineStr"/>
      <c r="I615" t="inlineStr">
        <is>
          <t>150</t>
        </is>
      </c>
      <c r="J615" t="inlineStr"/>
      <c r="K615" t="inlineStr">
        <is>
          <t>沖縄県島尻郡座間味村慶留間</t>
        </is>
      </c>
      <c r="L615" s="1">
        <f>HYPERLINK("https://www.hi.u-tokyo.ac.jp/collection/degitalgallary/ryukyu/item/20222", "https://www.hi.u-tokyo.ac.jp/collection/degitalgallary/ryukyu/item/20222")</f>
        <v/>
      </c>
    </row>
    <row r="616">
      <c r="A616" t="inlineStr">
        <is>
          <t>20223</t>
        </is>
      </c>
      <c r="B616" t="inlineStr">
        <is>
          <t>船かゝり不成</t>
        </is>
      </c>
      <c r="C616" t="inlineStr">
        <is>
          <t>港湾</t>
        </is>
      </c>
      <c r="D616" t="inlineStr"/>
      <c r="E616" t="inlineStr"/>
      <c r="F616" t="inlineStr">
        <is>
          <t>正保琉球国悪鬼納島絵図写</t>
        </is>
      </c>
      <c r="G616" t="inlineStr"/>
      <c r="H616" t="inlineStr"/>
      <c r="I616" t="inlineStr">
        <is>
          <t>151</t>
        </is>
      </c>
      <c r="J616" t="inlineStr"/>
      <c r="K616" t="inlineStr"/>
      <c r="L616" s="1">
        <f>HYPERLINK("https://www.hi.u-tokyo.ac.jp/collection/degitalgallary/ryukyu/item/20223", "https://www.hi.u-tokyo.ac.jp/collection/degitalgallary/ryukyu/item/20223")</f>
        <v/>
      </c>
    </row>
    <row r="617">
      <c r="A617" t="inlineStr">
        <is>
          <t>20224</t>
        </is>
      </c>
      <c r="B617" t="inlineStr">
        <is>
          <t>赤嶋ヨリこば嶋迄、海上壱里</t>
        </is>
      </c>
      <c r="C617" t="inlineStr">
        <is>
          <t>航路</t>
        </is>
      </c>
      <c r="D617" t="inlineStr"/>
      <c r="E617" t="inlineStr"/>
      <c r="F617" t="inlineStr">
        <is>
          <t>正保琉球国悪鬼納島絵図写</t>
        </is>
      </c>
      <c r="G617" t="inlineStr"/>
      <c r="H617" t="inlineStr"/>
      <c r="I617" t="inlineStr">
        <is>
          <t>152</t>
        </is>
      </c>
      <c r="J617" t="inlineStr"/>
      <c r="K617" t="inlineStr"/>
      <c r="L617" s="1">
        <f>HYPERLINK("https://www.hi.u-tokyo.ac.jp/collection/degitalgallary/ryukyu/item/20224", "https://www.hi.u-tokyo.ac.jp/collection/degitalgallary/ryukyu/item/20224")</f>
        <v/>
      </c>
    </row>
    <row r="618">
      <c r="A618" t="inlineStr">
        <is>
          <t>20225</t>
        </is>
      </c>
      <c r="B618" t="inlineStr">
        <is>
          <t>船かゝり不成</t>
        </is>
      </c>
      <c r="C618" t="inlineStr">
        <is>
          <t>港湾</t>
        </is>
      </c>
      <c r="D618" t="inlineStr"/>
      <c r="E618" t="inlineStr"/>
      <c r="F618" t="inlineStr">
        <is>
          <t>正保琉球国悪鬼納島絵図写</t>
        </is>
      </c>
      <c r="G618" t="inlineStr"/>
      <c r="H618" t="inlineStr"/>
      <c r="I618" t="inlineStr">
        <is>
          <t>153</t>
        </is>
      </c>
      <c r="J618" t="inlineStr"/>
      <c r="K618" t="inlineStr"/>
      <c r="L618" s="1">
        <f>HYPERLINK("https://www.hi.u-tokyo.ac.jp/collection/degitalgallary/ryukyu/item/20225", "https://www.hi.u-tokyo.ac.jp/collection/degitalgallary/ryukyu/item/20225")</f>
        <v/>
      </c>
    </row>
    <row r="619">
      <c r="A619" t="inlineStr">
        <is>
          <t>20226</t>
        </is>
      </c>
      <c r="B619" t="inlineStr">
        <is>
          <t>こば嶋</t>
        </is>
      </c>
      <c r="C619" t="inlineStr">
        <is>
          <t>島</t>
        </is>
      </c>
      <c r="D619" t="inlineStr">
        <is>
          <t>26.1718829</t>
        </is>
      </c>
      <c r="E619" t="inlineStr">
        <is>
          <t>127.2370125</t>
        </is>
      </c>
      <c r="F619" t="inlineStr">
        <is>
          <t>正保琉球国悪鬼納島絵図写</t>
        </is>
      </c>
      <c r="G619" t="inlineStr">
        <is>
          <t>けらま嶋之内
人居なし</t>
        </is>
      </c>
      <c r="H619" t="inlineStr"/>
      <c r="I619" t="inlineStr">
        <is>
          <t>154</t>
        </is>
      </c>
      <c r="J619" t="inlineStr"/>
      <c r="K619" t="inlineStr">
        <is>
          <t>沖縄県島尻郡座間味村座間味</t>
        </is>
      </c>
      <c r="L619" s="1">
        <f>HYPERLINK("https://www.hi.u-tokyo.ac.jp/collection/degitalgallary/ryukyu/item/20226", "https://www.hi.u-tokyo.ac.jp/collection/degitalgallary/ryukyu/item/20226")</f>
        <v/>
      </c>
    </row>
    <row r="620">
      <c r="A620" t="inlineStr">
        <is>
          <t>20227</t>
        </is>
      </c>
      <c r="B620" t="inlineStr">
        <is>
          <t>けらま嶋之内赤嶋ヨリ宮古嶋はり水迄、海上七拾五里未申之方ニ当ル、此渡昼夜共ニ汐東へ落ス</t>
        </is>
      </c>
      <c r="C620" t="inlineStr">
        <is>
          <t>航路</t>
        </is>
      </c>
      <c r="D620" t="inlineStr"/>
      <c r="E620" t="inlineStr"/>
      <c r="F620" t="inlineStr">
        <is>
          <t>正保琉球国悪鬼納島絵図写</t>
        </is>
      </c>
      <c r="G620" t="inlineStr"/>
      <c r="H620" t="inlineStr"/>
      <c r="I620" t="inlineStr">
        <is>
          <t>155</t>
        </is>
      </c>
      <c r="J620" t="inlineStr"/>
      <c r="K620" t="inlineStr"/>
      <c r="L620" s="1">
        <f>HYPERLINK("https://www.hi.u-tokyo.ac.jp/collection/degitalgallary/ryukyu/item/20227", "https://www.hi.u-tokyo.ac.jp/collection/degitalgallary/ryukyu/item/20227")</f>
        <v/>
      </c>
    </row>
    <row r="621">
      <c r="A621" t="inlineStr">
        <is>
          <t>20228</t>
        </is>
      </c>
      <c r="B621" t="inlineStr">
        <is>
          <t>（合印）</t>
        </is>
      </c>
      <c r="C621" t="inlineStr">
        <is>
          <t>その他</t>
        </is>
      </c>
      <c r="D621" t="inlineStr"/>
      <c r="E621" t="inlineStr"/>
      <c r="F621" t="inlineStr">
        <is>
          <t>正保琉球国悪鬼納島絵図写</t>
        </is>
      </c>
      <c r="G621" t="inlineStr"/>
      <c r="H621" t="inlineStr">
        <is>
          <t>◇◇</t>
        </is>
      </c>
      <c r="I621" t="inlineStr"/>
      <c r="J621" t="inlineStr"/>
      <c r="K621" t="inlineStr"/>
      <c r="L621" s="1">
        <f>HYPERLINK("https://www.hi.u-tokyo.ac.jp/collection/degitalgallary/ryukyu/item/20228", "https://www.hi.u-tokyo.ac.jp/collection/degitalgallary/ryukyu/item/20228")</f>
        <v/>
      </c>
    </row>
    <row r="622">
      <c r="A622" t="inlineStr">
        <is>
          <t>20229</t>
        </is>
      </c>
      <c r="B622" t="inlineStr">
        <is>
          <t>此間拾八町</t>
        </is>
      </c>
      <c r="C622" t="inlineStr">
        <is>
          <t>その他</t>
        </is>
      </c>
      <c r="D622" t="inlineStr"/>
      <c r="E622" t="inlineStr"/>
      <c r="F622" t="inlineStr">
        <is>
          <t>正保琉球国悪鬼納島絵図写</t>
        </is>
      </c>
      <c r="G622" t="inlineStr"/>
      <c r="H622" t="inlineStr"/>
      <c r="I622" t="inlineStr">
        <is>
          <t>156</t>
        </is>
      </c>
      <c r="J622" t="inlineStr"/>
      <c r="K622" t="inlineStr"/>
      <c r="L622" s="1">
        <f>HYPERLINK("https://www.hi.u-tokyo.ac.jp/collection/degitalgallary/ryukyu/item/20229", "https://www.hi.u-tokyo.ac.jp/collection/degitalgallary/ryukyu/item/20229")</f>
        <v/>
      </c>
    </row>
    <row r="623">
      <c r="A623" t="inlineStr">
        <is>
          <t>20230</t>
        </is>
      </c>
      <c r="B623" t="inlineStr">
        <is>
          <t>やかひ嶋</t>
        </is>
      </c>
      <c r="C623" t="inlineStr">
        <is>
          <t>島</t>
        </is>
      </c>
      <c r="D623" t="inlineStr">
        <is>
          <t>26.2149059</t>
        </is>
      </c>
      <c r="E623" t="inlineStr">
        <is>
          <t>127.245041</t>
        </is>
      </c>
      <c r="F623" t="inlineStr">
        <is>
          <t>正保琉球国悪鬼納島絵図写</t>
        </is>
      </c>
      <c r="G623" t="inlineStr">
        <is>
          <t>けらま嶋之内
人居なし</t>
        </is>
      </c>
      <c r="H623" t="inlineStr"/>
      <c r="I623" t="inlineStr">
        <is>
          <t>157</t>
        </is>
      </c>
      <c r="J623" t="inlineStr"/>
      <c r="K623" t="inlineStr">
        <is>
          <t>沖縄県島尻郡座間味村座間味</t>
        </is>
      </c>
      <c r="L623" s="1">
        <f>HYPERLINK("https://www.hi.u-tokyo.ac.jp/collection/degitalgallary/ryukyu/item/20230", "https://www.hi.u-tokyo.ac.jp/collection/degitalgallary/ryukyu/item/20230")</f>
        <v/>
      </c>
    </row>
    <row r="624">
      <c r="A624" t="inlineStr">
        <is>
          <t>20231</t>
        </is>
      </c>
      <c r="B624" t="inlineStr">
        <is>
          <t>悪鬼納嶋之内那覇湊ヨリ久米嶋迄、海上四拾八里酉戌之間ニ当ル</t>
        </is>
      </c>
      <c r="C624" t="inlineStr">
        <is>
          <t>航路</t>
        </is>
      </c>
      <c r="D624" t="inlineStr"/>
      <c r="E624" t="inlineStr"/>
      <c r="F624" t="inlineStr">
        <is>
          <t>正保琉球国悪鬼納島絵図写</t>
        </is>
      </c>
      <c r="G624" t="inlineStr"/>
      <c r="H624" t="inlineStr"/>
      <c r="I624" t="inlineStr">
        <is>
          <t>158</t>
        </is>
      </c>
      <c r="J624" t="inlineStr"/>
      <c r="K624" t="inlineStr"/>
      <c r="L624" s="1">
        <f>HYPERLINK("https://www.hi.u-tokyo.ac.jp/collection/degitalgallary/ryukyu/item/20231", "https://www.hi.u-tokyo.ac.jp/collection/degitalgallary/ryukyu/item/20231")</f>
        <v/>
      </c>
    </row>
    <row r="625">
      <c r="A625" t="inlineStr">
        <is>
          <t>20232</t>
        </is>
      </c>
      <c r="B625" t="inlineStr">
        <is>
          <t>那覇湊ヨリ戸無嶋迄、海上廿六里戌亥之間ニ当ル</t>
        </is>
      </c>
      <c r="C625" t="inlineStr">
        <is>
          <t>航路</t>
        </is>
      </c>
      <c r="D625" t="inlineStr"/>
      <c r="E625" t="inlineStr"/>
      <c r="F625" t="inlineStr">
        <is>
          <t>正保琉球国悪鬼納島絵図写</t>
        </is>
      </c>
      <c r="G625" t="inlineStr"/>
      <c r="H625" t="inlineStr"/>
      <c r="I625" t="inlineStr">
        <is>
          <t>159</t>
        </is>
      </c>
      <c r="J625" t="inlineStr"/>
      <c r="K625" t="inlineStr"/>
      <c r="L625" s="1">
        <f>HYPERLINK("https://www.hi.u-tokyo.ac.jp/collection/degitalgallary/ryukyu/item/20232", "https://www.hi.u-tokyo.ac.jp/collection/degitalgallary/ryukyu/item/20232")</f>
        <v/>
      </c>
    </row>
    <row r="626">
      <c r="A626" t="inlineStr">
        <is>
          <t>20233</t>
        </is>
      </c>
      <c r="B626" t="inlineStr">
        <is>
          <t>悪鬼納嶋之内那覇湊ヨリ粟嶋迄、海上三拾里亥子之間ニ当ル</t>
        </is>
      </c>
      <c r="C626" t="inlineStr">
        <is>
          <t>航路</t>
        </is>
      </c>
      <c r="D626" t="inlineStr"/>
      <c r="E626" t="inlineStr"/>
      <c r="F626" t="inlineStr">
        <is>
          <t>正保琉球国悪鬼納島絵図写</t>
        </is>
      </c>
      <c r="G626" t="inlineStr"/>
      <c r="H626" t="inlineStr"/>
      <c r="I626" t="inlineStr">
        <is>
          <t>160</t>
        </is>
      </c>
      <c r="J626" t="inlineStr"/>
      <c r="K626" t="inlineStr"/>
      <c r="L626" s="1">
        <f>HYPERLINK("https://www.hi.u-tokyo.ac.jp/collection/degitalgallary/ryukyu/item/20233", "https://www.hi.u-tokyo.ac.jp/collection/degitalgallary/ryukyu/item/20233")</f>
        <v/>
      </c>
    </row>
    <row r="627">
      <c r="A627" t="inlineStr">
        <is>
          <t>20234</t>
        </is>
      </c>
      <c r="B627" t="inlineStr">
        <is>
          <t>おかみ崎</t>
        </is>
      </c>
      <c r="C627" t="inlineStr">
        <is>
          <t>崎</t>
        </is>
      </c>
      <c r="D627" t="inlineStr">
        <is>
          <t>26.357689</t>
        </is>
      </c>
      <c r="E627" t="inlineStr">
        <is>
          <t>126.930285</t>
        </is>
      </c>
      <c r="F627" t="inlineStr">
        <is>
          <t>正保琉球国悪鬼納島絵図写</t>
        </is>
      </c>
      <c r="G627" t="inlineStr"/>
      <c r="H627" t="inlineStr"/>
      <c r="I627" t="inlineStr">
        <is>
          <t>161</t>
        </is>
      </c>
      <c r="J627" t="inlineStr"/>
      <c r="K627" t="inlineStr">
        <is>
          <t>沖縄県島尻郡久米島町奥武</t>
        </is>
      </c>
      <c r="L627" s="1">
        <f>HYPERLINK("https://www.hi.u-tokyo.ac.jp/collection/degitalgallary/ryukyu/item/20234", "https://www.hi.u-tokyo.ac.jp/collection/degitalgallary/ryukyu/item/20234")</f>
        <v/>
      </c>
    </row>
    <row r="628">
      <c r="A628" t="inlineStr">
        <is>
          <t>20235</t>
        </is>
      </c>
      <c r="B628" t="inlineStr">
        <is>
          <t>那覇湊ヨリ久米嶋兼城湊迄、海上四拾八里</t>
        </is>
      </c>
      <c r="C628" t="inlineStr">
        <is>
          <t>航路</t>
        </is>
      </c>
      <c r="D628" t="inlineStr"/>
      <c r="E628" t="inlineStr"/>
      <c r="F628" t="inlineStr">
        <is>
          <t>正保琉球国悪鬼納島絵図写</t>
        </is>
      </c>
      <c r="G628" t="inlineStr"/>
      <c r="H628" t="inlineStr"/>
      <c r="I628" t="inlineStr">
        <is>
          <t>162</t>
        </is>
      </c>
      <c r="J628" t="inlineStr"/>
      <c r="K628" t="inlineStr"/>
      <c r="L628" s="1">
        <f>HYPERLINK("https://www.hi.u-tokyo.ac.jp/collection/degitalgallary/ryukyu/item/20235", "https://www.hi.u-tokyo.ac.jp/collection/degitalgallary/ryukyu/item/20235")</f>
        <v/>
      </c>
    </row>
    <row r="629">
      <c r="A629" t="inlineStr">
        <is>
          <t>20236</t>
        </is>
      </c>
      <c r="B629" t="inlineStr">
        <is>
          <t>まちや入江ヨリおかみ崎迄、七里</t>
        </is>
      </c>
      <c r="C629" t="inlineStr">
        <is>
          <t>干瀬</t>
        </is>
      </c>
      <c r="D629" t="inlineStr"/>
      <c r="E629" t="inlineStr"/>
      <c r="F629" t="inlineStr">
        <is>
          <t>正保琉球国悪鬼納島絵図写</t>
        </is>
      </c>
      <c r="G629" t="inlineStr"/>
      <c r="H629" t="inlineStr"/>
      <c r="I629" t="inlineStr">
        <is>
          <t>163</t>
        </is>
      </c>
      <c r="J629" t="inlineStr"/>
      <c r="K629" t="inlineStr"/>
      <c r="L629" s="1">
        <f>HYPERLINK("https://www.hi.u-tokyo.ac.jp/collection/degitalgallary/ryukyu/item/20236", "https://www.hi.u-tokyo.ac.jp/collection/degitalgallary/ryukyu/item/20236")</f>
        <v/>
      </c>
    </row>
    <row r="630">
      <c r="A630" t="inlineStr">
        <is>
          <t>20237</t>
        </is>
      </c>
      <c r="B630" t="inlineStr">
        <is>
          <t>おは嶋</t>
        </is>
      </c>
      <c r="C630" t="inlineStr">
        <is>
          <t>島</t>
        </is>
      </c>
      <c r="D630" t="inlineStr">
        <is>
          <t>26.3416888</t>
        </is>
      </c>
      <c r="E630" t="inlineStr">
        <is>
          <t>126.8395616</t>
        </is>
      </c>
      <c r="F630" t="inlineStr">
        <is>
          <t>正保琉球国悪鬼納島絵図写</t>
        </is>
      </c>
      <c r="G630" t="inlineStr">
        <is>
          <t>無人居</t>
        </is>
      </c>
      <c r="H630" t="inlineStr"/>
      <c r="I630" t="inlineStr">
        <is>
          <t>164</t>
        </is>
      </c>
      <c r="J630" t="inlineStr"/>
      <c r="K630" t="inlineStr">
        <is>
          <t>沖縄県島尻郡久米島町奥武</t>
        </is>
      </c>
      <c r="L630" s="1">
        <f>HYPERLINK("https://www.hi.u-tokyo.ac.jp/collection/degitalgallary/ryukyu/item/20237", "https://www.hi.u-tokyo.ac.jp/collection/degitalgallary/ryukyu/item/20237")</f>
        <v/>
      </c>
    </row>
    <row r="631">
      <c r="A631" t="inlineStr">
        <is>
          <t>20238</t>
        </is>
      </c>
      <c r="B631" t="inlineStr">
        <is>
          <t>此間弐町干汐ノ時歩渡り</t>
        </is>
      </c>
      <c r="C631" t="inlineStr">
        <is>
          <t>渡河点</t>
        </is>
      </c>
      <c r="D631" t="inlineStr"/>
      <c r="E631" t="inlineStr"/>
      <c r="F631" t="inlineStr">
        <is>
          <t>正保琉球国悪鬼納島絵図写</t>
        </is>
      </c>
      <c r="G631" t="inlineStr"/>
      <c r="H631" t="inlineStr"/>
      <c r="I631" t="inlineStr">
        <is>
          <t>165</t>
        </is>
      </c>
      <c r="J631" t="inlineStr"/>
      <c r="K631" t="inlineStr"/>
      <c r="L631" s="1">
        <f>HYPERLINK("https://www.hi.u-tokyo.ac.jp/collection/degitalgallary/ryukyu/item/20238", "https://www.hi.u-tokyo.ac.jp/collection/degitalgallary/ryukyu/item/20238")</f>
        <v/>
      </c>
    </row>
    <row r="632">
      <c r="A632" t="inlineStr">
        <is>
          <t>20239</t>
        </is>
      </c>
      <c r="B632" t="inlineStr">
        <is>
          <t>あふ嶋</t>
        </is>
      </c>
      <c r="C632" t="inlineStr">
        <is>
          <t>島</t>
        </is>
      </c>
      <c r="D632" t="inlineStr">
        <is>
          <t>26.3395072</t>
        </is>
      </c>
      <c r="E632" t="inlineStr">
        <is>
          <t>126.8290646</t>
        </is>
      </c>
      <c r="F632" t="inlineStr">
        <is>
          <t>正保琉球国悪鬼納島絵図写</t>
        </is>
      </c>
      <c r="G632" t="inlineStr">
        <is>
          <t>人居なし</t>
        </is>
      </c>
      <c r="H632" t="inlineStr"/>
      <c r="I632" t="inlineStr">
        <is>
          <t>166</t>
        </is>
      </c>
      <c r="J632" t="inlineStr"/>
      <c r="K632" t="inlineStr">
        <is>
          <t>沖縄県島尻郡久米島町奥武</t>
        </is>
      </c>
      <c r="L632" s="1">
        <f>HYPERLINK("https://www.hi.u-tokyo.ac.jp/collection/degitalgallary/ryukyu/item/20239", "https://www.hi.u-tokyo.ac.jp/collection/degitalgallary/ryukyu/item/20239")</f>
        <v/>
      </c>
    </row>
    <row r="633">
      <c r="A633" t="inlineStr">
        <is>
          <t>20240</t>
        </is>
      </c>
      <c r="B633" t="inlineStr">
        <is>
          <t>此間五町干汐ノ時歩渡り</t>
        </is>
      </c>
      <c r="C633" t="inlineStr">
        <is>
          <t>渡河点</t>
        </is>
      </c>
      <c r="D633" t="inlineStr"/>
      <c r="E633" t="inlineStr"/>
      <c r="F633" t="inlineStr">
        <is>
          <t>正保琉球国悪鬼納島絵図写</t>
        </is>
      </c>
      <c r="G633" t="inlineStr"/>
      <c r="H633" t="inlineStr"/>
      <c r="I633" t="inlineStr">
        <is>
          <t>167</t>
        </is>
      </c>
      <c r="J633" t="inlineStr"/>
      <c r="K633" t="inlineStr"/>
      <c r="L633" s="1">
        <f>HYPERLINK("https://www.hi.u-tokyo.ac.jp/collection/degitalgallary/ryukyu/item/20240", "https://www.hi.u-tokyo.ac.jp/collection/degitalgallary/ryukyu/item/20240")</f>
        <v/>
      </c>
    </row>
    <row r="634">
      <c r="A634" t="inlineStr">
        <is>
          <t>20241</t>
        </is>
      </c>
      <c r="B634" t="inlineStr">
        <is>
          <t>まちや入江</t>
        </is>
      </c>
      <c r="C634" t="inlineStr">
        <is>
          <t>港湾</t>
        </is>
      </c>
      <c r="D634" t="inlineStr">
        <is>
          <t>26.3510624</t>
        </is>
      </c>
      <c r="E634" t="inlineStr">
        <is>
          <t>126.8248115</t>
        </is>
      </c>
      <c r="F634" t="inlineStr">
        <is>
          <t>正保琉球国悪鬼納島絵図写</t>
        </is>
      </c>
      <c r="G634" t="inlineStr">
        <is>
          <t>一、此まちや入江、壱町左右水底はへ有
一、船出入不自由</t>
        </is>
      </c>
      <c r="H634" t="inlineStr"/>
      <c r="I634" t="inlineStr">
        <is>
          <t>168</t>
        </is>
      </c>
      <c r="J634" t="inlineStr"/>
      <c r="K634" t="inlineStr"/>
      <c r="L634" s="1">
        <f>HYPERLINK("https://www.hi.u-tokyo.ac.jp/collection/degitalgallary/ryukyu/item/20241", "https://www.hi.u-tokyo.ac.jp/collection/degitalgallary/ryukyu/item/20241")</f>
        <v/>
      </c>
    </row>
    <row r="635">
      <c r="A635" t="inlineStr">
        <is>
          <t>20242</t>
        </is>
      </c>
      <c r="B635" t="inlineStr">
        <is>
          <t>久米嶋
高三千六百七拾七石七斗
嶋廻六里廿町</t>
        </is>
      </c>
      <c r="C635" t="inlineStr">
        <is>
          <t>島</t>
        </is>
      </c>
      <c r="D635" t="inlineStr">
        <is>
          <t>26.3503959</t>
        </is>
      </c>
      <c r="E635" t="inlineStr">
        <is>
          <t>126.7711774</t>
        </is>
      </c>
      <c r="F635" t="inlineStr">
        <is>
          <t>正保琉球国悪鬼納島絵図写</t>
        </is>
      </c>
      <c r="G635" t="inlineStr"/>
      <c r="H635" t="inlineStr"/>
      <c r="I635" t="inlineStr">
        <is>
          <t>169</t>
        </is>
      </c>
      <c r="J635" t="inlineStr"/>
      <c r="K635" t="inlineStr">
        <is>
          <t>沖縄県島尻郡久米島町嘉手苅</t>
        </is>
      </c>
      <c r="L635" s="1">
        <f>HYPERLINK("https://www.hi.u-tokyo.ac.jp/collection/degitalgallary/ryukyu/item/20242", "https://www.hi.u-tokyo.ac.jp/collection/degitalgallary/ryukyu/item/20242")</f>
        <v/>
      </c>
    </row>
    <row r="636">
      <c r="A636" t="inlineStr">
        <is>
          <t>20243</t>
        </is>
      </c>
      <c r="B636" t="inlineStr">
        <is>
          <t>此間海上五里</t>
        </is>
      </c>
      <c r="C636" t="inlineStr">
        <is>
          <t>その他</t>
        </is>
      </c>
      <c r="D636" t="inlineStr"/>
      <c r="E636" t="inlineStr"/>
      <c r="F636" t="inlineStr">
        <is>
          <t>正保琉球国悪鬼納島絵図写</t>
        </is>
      </c>
      <c r="G636" t="inlineStr"/>
      <c r="H636" t="inlineStr"/>
      <c r="I636" t="inlineStr">
        <is>
          <t>170</t>
        </is>
      </c>
      <c r="J636" t="inlineStr"/>
      <c r="K636" t="inlineStr"/>
      <c r="L636" s="1">
        <f>HYPERLINK("https://www.hi.u-tokyo.ac.jp/collection/degitalgallary/ryukyu/item/20243", "https://www.hi.u-tokyo.ac.jp/collection/degitalgallary/ryukyu/item/20243")</f>
        <v/>
      </c>
    </row>
    <row r="637">
      <c r="A637" t="inlineStr">
        <is>
          <t>20244</t>
        </is>
      </c>
      <c r="B637" t="inlineStr">
        <is>
          <t>久米鳥嶋</t>
        </is>
      </c>
      <c r="C637" t="inlineStr">
        <is>
          <t>島</t>
        </is>
      </c>
      <c r="D637" t="inlineStr">
        <is>
          <t>26.5948295</t>
        </is>
      </c>
      <c r="E637" t="inlineStr">
        <is>
          <t>126.8314022</t>
        </is>
      </c>
      <c r="F637" t="inlineStr">
        <is>
          <t>正保琉球国悪鬼納島絵図写</t>
        </is>
      </c>
      <c r="G637" t="inlineStr"/>
      <c r="H637" t="inlineStr"/>
      <c r="I637" t="inlineStr">
        <is>
          <t>171</t>
        </is>
      </c>
      <c r="J637" t="inlineStr"/>
      <c r="K637" t="inlineStr">
        <is>
          <t>沖縄県島尻郡久米島町鳥島</t>
        </is>
      </c>
      <c r="L637" s="1">
        <f>HYPERLINK("https://www.hi.u-tokyo.ac.jp/collection/degitalgallary/ryukyu/item/20244", "https://www.hi.u-tokyo.ac.jp/collection/degitalgallary/ryukyu/item/20244")</f>
        <v/>
      </c>
    </row>
    <row r="638">
      <c r="A638" t="inlineStr">
        <is>
          <t>20245</t>
        </is>
      </c>
      <c r="B638" t="inlineStr">
        <is>
          <t>はんね浜</t>
        </is>
      </c>
      <c r="C638" t="inlineStr">
        <is>
          <t>その他</t>
        </is>
      </c>
      <c r="D638" t="inlineStr"/>
      <c r="E638" t="inlineStr"/>
      <c r="F638" t="inlineStr">
        <is>
          <t>正保琉球国悪鬼納島絵図写</t>
        </is>
      </c>
      <c r="G638" t="inlineStr"/>
      <c r="H638" t="inlineStr"/>
      <c r="I638" t="inlineStr">
        <is>
          <t>172</t>
        </is>
      </c>
      <c r="J638" t="inlineStr"/>
      <c r="K638" t="inlineStr"/>
      <c r="L638" s="1">
        <f>HYPERLINK("https://www.hi.u-tokyo.ac.jp/collection/degitalgallary/ryukyu/item/20245", "https://www.hi.u-tokyo.ac.jp/collection/degitalgallary/ryukyu/item/20245")</f>
        <v/>
      </c>
    </row>
    <row r="639">
      <c r="A639" t="inlineStr">
        <is>
          <t>20246</t>
        </is>
      </c>
      <c r="B639" t="inlineStr">
        <is>
          <t>はんね浜ヨリ国吉浜迄、四里六町</t>
        </is>
      </c>
      <c r="C639" t="inlineStr">
        <is>
          <t>陸路</t>
        </is>
      </c>
      <c r="D639" t="inlineStr"/>
      <c r="E639" t="inlineStr"/>
      <c r="F639" t="inlineStr">
        <is>
          <t>正保琉球国悪鬼納島絵図写</t>
        </is>
      </c>
      <c r="G639" t="inlineStr"/>
      <c r="H639" t="inlineStr"/>
      <c r="I639" t="inlineStr">
        <is>
          <t>173</t>
        </is>
      </c>
      <c r="J639" t="inlineStr"/>
      <c r="K639" t="inlineStr"/>
      <c r="L639" s="1">
        <f>HYPERLINK("https://www.hi.u-tokyo.ac.jp/collection/degitalgallary/ryukyu/item/20246", "https://www.hi.u-tokyo.ac.jp/collection/degitalgallary/ryukyu/item/20246")</f>
        <v/>
      </c>
    </row>
    <row r="640">
      <c r="A640" t="inlineStr">
        <is>
          <t>20247</t>
        </is>
      </c>
      <c r="B640" t="inlineStr">
        <is>
          <t>西目崎</t>
        </is>
      </c>
      <c r="C640" t="inlineStr">
        <is>
          <t>崎</t>
        </is>
      </c>
      <c r="D640" t="inlineStr">
        <is>
          <t>26.346564</t>
        </is>
      </c>
      <c r="E640" t="inlineStr">
        <is>
          <t>126.741663</t>
        </is>
      </c>
      <c r="F640" t="inlineStr">
        <is>
          <t>正保琉球国悪鬼納島絵図写</t>
        </is>
      </c>
      <c r="G640" t="inlineStr"/>
      <c r="H640" t="inlineStr"/>
      <c r="I640" t="inlineStr">
        <is>
          <t>174</t>
        </is>
      </c>
      <c r="J640" t="inlineStr"/>
      <c r="K640" t="inlineStr">
        <is>
          <t>沖縄県島尻郡久米島町鳥島</t>
        </is>
      </c>
      <c r="L640" s="1">
        <f>HYPERLINK("https://www.hi.u-tokyo.ac.jp/collection/degitalgallary/ryukyu/item/20247", "https://www.hi.u-tokyo.ac.jp/collection/degitalgallary/ryukyu/item/20247")</f>
        <v/>
      </c>
    </row>
    <row r="641">
      <c r="A641" t="inlineStr">
        <is>
          <t>20248</t>
        </is>
      </c>
      <c r="B641" t="inlineStr">
        <is>
          <t>兼城湊</t>
        </is>
      </c>
      <c r="C641" t="inlineStr">
        <is>
          <t>港湾</t>
        </is>
      </c>
      <c r="D641" t="inlineStr">
        <is>
          <t>26.339995</t>
        </is>
      </c>
      <c r="E641" t="inlineStr">
        <is>
          <t>126.7554378</t>
        </is>
      </c>
      <c r="F641" t="inlineStr">
        <is>
          <t>正保琉球国悪鬼納島絵図写</t>
        </is>
      </c>
      <c r="G641" t="inlineStr">
        <is>
          <t>一、兼城湊船かゝり場、入壱町、広さ五十間、深さ八尋
一、大船四五艘程繋ル
一、何風ニ而も船かゝり自由、船かゝり所ヨリ干瀬之間四町</t>
        </is>
      </c>
      <c r="H641" t="inlineStr"/>
      <c r="I641" t="inlineStr">
        <is>
          <t>175</t>
        </is>
      </c>
      <c r="J641" t="inlineStr"/>
      <c r="K641" t="inlineStr">
        <is>
          <t>沖縄県島尻郡久米島町兼城１８６</t>
        </is>
      </c>
      <c r="L641" s="1">
        <f>HYPERLINK("https://www.hi.u-tokyo.ac.jp/collection/degitalgallary/ryukyu/item/20248", "https://www.hi.u-tokyo.ac.jp/collection/degitalgallary/ryukyu/item/20248")</f>
        <v/>
      </c>
    </row>
    <row r="642">
      <c r="A642" t="inlineStr">
        <is>
          <t>20249</t>
        </is>
      </c>
      <c r="B642" t="inlineStr">
        <is>
          <t>遠干潟</t>
        </is>
      </c>
      <c r="C642" t="inlineStr">
        <is>
          <t>干瀬</t>
        </is>
      </c>
      <c r="D642" t="inlineStr"/>
      <c r="E642" t="inlineStr"/>
      <c r="F642" t="inlineStr">
        <is>
          <t>正保琉球国悪鬼納島絵図写</t>
        </is>
      </c>
      <c r="G642" t="inlineStr"/>
      <c r="H642" t="inlineStr"/>
      <c r="I642" t="inlineStr">
        <is>
          <t>176</t>
        </is>
      </c>
      <c r="J642" t="inlineStr"/>
      <c r="K642" t="inlineStr"/>
      <c r="L642" s="1">
        <f>HYPERLINK("https://www.hi.u-tokyo.ac.jp/collection/degitalgallary/ryukyu/item/20249", "https://www.hi.u-tokyo.ac.jp/collection/degitalgallary/ryukyu/item/20249")</f>
        <v/>
      </c>
    </row>
    <row r="643">
      <c r="A643" t="inlineStr">
        <is>
          <t>20250</t>
        </is>
      </c>
      <c r="B643" t="inlineStr">
        <is>
          <t>此船入口左右干瀬之間、広さ一町、深さ卅尋、船かゝり所迄八町</t>
        </is>
      </c>
      <c r="C643" t="inlineStr">
        <is>
          <t>港湾</t>
        </is>
      </c>
      <c r="D643" t="inlineStr"/>
      <c r="E643" t="inlineStr"/>
      <c r="F643" t="inlineStr">
        <is>
          <t>正保琉球国悪鬼納島絵図写</t>
        </is>
      </c>
      <c r="G643" t="inlineStr"/>
      <c r="H643" t="inlineStr"/>
      <c r="I643" t="inlineStr">
        <is>
          <t>177</t>
        </is>
      </c>
      <c r="J643" t="inlineStr"/>
      <c r="K643" t="inlineStr"/>
      <c r="L643" s="1">
        <f>HYPERLINK("https://www.hi.u-tokyo.ac.jp/collection/degitalgallary/ryukyu/item/20250", "https://www.hi.u-tokyo.ac.jp/collection/degitalgallary/ryukyu/item/20250")</f>
        <v/>
      </c>
    </row>
    <row r="644">
      <c r="A644" t="inlineStr">
        <is>
          <t>20251</t>
        </is>
      </c>
      <c r="B644" t="inlineStr">
        <is>
          <t>国吉浜</t>
        </is>
      </c>
      <c r="C644" t="inlineStr">
        <is>
          <t>その他</t>
        </is>
      </c>
      <c r="D644" t="inlineStr"/>
      <c r="E644" t="inlineStr"/>
      <c r="F644" t="inlineStr">
        <is>
          <t>正保琉球国悪鬼納島絵図写</t>
        </is>
      </c>
      <c r="G644" t="inlineStr"/>
      <c r="H644" t="inlineStr"/>
      <c r="I644" t="inlineStr">
        <is>
          <t>178</t>
        </is>
      </c>
      <c r="J644" t="inlineStr"/>
      <c r="K644" t="inlineStr"/>
      <c r="L644" s="1">
        <f>HYPERLINK("https://www.hi.u-tokyo.ac.jp/collection/degitalgallary/ryukyu/item/20251", "https://www.hi.u-tokyo.ac.jp/collection/degitalgallary/ryukyu/item/20251")</f>
        <v/>
      </c>
    </row>
    <row r="645">
      <c r="A645" t="inlineStr">
        <is>
          <t>20252</t>
        </is>
      </c>
      <c r="B645" t="inlineStr">
        <is>
          <t>おとのはら</t>
        </is>
      </c>
      <c r="C645" t="inlineStr">
        <is>
          <t>その他</t>
        </is>
      </c>
      <c r="D645" t="inlineStr"/>
      <c r="E645" t="inlineStr"/>
      <c r="F645" t="inlineStr">
        <is>
          <t>正保琉球国悪鬼納島絵図写</t>
        </is>
      </c>
      <c r="G645" t="inlineStr"/>
      <c r="H645" t="inlineStr"/>
      <c r="I645" t="inlineStr">
        <is>
          <t>179</t>
        </is>
      </c>
      <c r="J645" t="inlineStr"/>
      <c r="K645" t="inlineStr"/>
      <c r="L645" s="1">
        <f>HYPERLINK("https://www.hi.u-tokyo.ac.jp/collection/degitalgallary/ryukyu/item/20252", "https://www.hi.u-tokyo.ac.jp/collection/degitalgallary/ryukyu/item/20252")</f>
        <v/>
      </c>
    </row>
    <row r="646">
      <c r="A646" t="inlineStr">
        <is>
          <t>20253</t>
        </is>
      </c>
      <c r="B646" t="inlineStr">
        <is>
          <t>此間十町</t>
        </is>
      </c>
      <c r="C646" t="inlineStr">
        <is>
          <t>その他</t>
        </is>
      </c>
      <c r="D646" t="inlineStr"/>
      <c r="E646" t="inlineStr"/>
      <c r="F646" t="inlineStr">
        <is>
          <t>正保琉球国悪鬼納島絵図写</t>
        </is>
      </c>
      <c r="G646" t="inlineStr"/>
      <c r="H646" t="inlineStr"/>
      <c r="I646" t="inlineStr">
        <is>
          <t>180</t>
        </is>
      </c>
      <c r="J646" t="inlineStr"/>
      <c r="K646" t="inlineStr"/>
      <c r="L646" s="1">
        <f>HYPERLINK("https://www.hi.u-tokyo.ac.jp/collection/degitalgallary/ryukyu/item/20253", "https://www.hi.u-tokyo.ac.jp/collection/degitalgallary/ryukyu/item/20253")</f>
        <v/>
      </c>
    </row>
    <row r="647">
      <c r="A647" t="inlineStr">
        <is>
          <t>20254</t>
        </is>
      </c>
      <c r="B647" t="inlineStr">
        <is>
          <t>嶋尻崎</t>
        </is>
      </c>
      <c r="C647" t="inlineStr">
        <is>
          <t>崎</t>
        </is>
      </c>
      <c r="D647" t="inlineStr">
        <is>
          <t>26.293410</t>
        </is>
      </c>
      <c r="E647" t="inlineStr">
        <is>
          <t>126.810860</t>
        </is>
      </c>
      <c r="F647" t="inlineStr">
        <is>
          <t>正保琉球国悪鬼納島絵図写</t>
        </is>
      </c>
      <c r="G647" t="inlineStr"/>
      <c r="H647" t="inlineStr"/>
      <c r="I647" t="inlineStr">
        <is>
          <t>181</t>
        </is>
      </c>
      <c r="J647" t="inlineStr"/>
      <c r="K647" t="inlineStr">
        <is>
          <t>沖縄県島尻郡久米島町島尻</t>
        </is>
      </c>
      <c r="L647" s="1">
        <f>HYPERLINK("https://www.hi.u-tokyo.ac.jp/collection/degitalgallary/ryukyu/item/20254", "https://www.hi.u-tokyo.ac.jp/collection/degitalgallary/ryukyu/item/20254")</f>
        <v/>
      </c>
    </row>
    <row r="648">
      <c r="A648" t="inlineStr">
        <is>
          <t>20255</t>
        </is>
      </c>
      <c r="B648" t="inlineStr">
        <is>
          <t>てそな嶋</t>
        </is>
      </c>
      <c r="C648" t="inlineStr">
        <is>
          <t>島</t>
        </is>
      </c>
      <c r="D648" t="inlineStr">
        <is>
          <t>26.384761</t>
        </is>
      </c>
      <c r="E648" t="inlineStr">
        <is>
          <t>127.1024015</t>
        </is>
      </c>
      <c r="F648" t="inlineStr">
        <is>
          <t>正保琉球国悪鬼納島絵図写</t>
        </is>
      </c>
      <c r="G648" t="inlineStr">
        <is>
          <t>無人居</t>
        </is>
      </c>
      <c r="H648" t="inlineStr"/>
      <c r="I648" t="inlineStr">
        <is>
          <t>182</t>
        </is>
      </c>
      <c r="J648" t="inlineStr"/>
      <c r="K648" t="inlineStr">
        <is>
          <t>沖縄県島尻郡渡名喜村</t>
        </is>
      </c>
      <c r="L648" s="1">
        <f>HYPERLINK("https://www.hi.u-tokyo.ac.jp/collection/degitalgallary/ryukyu/item/20255", "https://www.hi.u-tokyo.ac.jp/collection/degitalgallary/ryukyu/item/20255")</f>
        <v/>
      </c>
    </row>
    <row r="649">
      <c r="A649" t="inlineStr">
        <is>
          <t>20256</t>
        </is>
      </c>
      <c r="B649" t="inlineStr">
        <is>
          <t>此間海上壱里</t>
        </is>
      </c>
      <c r="C649" t="inlineStr">
        <is>
          <t>その他</t>
        </is>
      </c>
      <c r="D649" t="inlineStr"/>
      <c r="E649" t="inlineStr"/>
      <c r="F649" t="inlineStr">
        <is>
          <t>正保琉球国悪鬼納島絵図写</t>
        </is>
      </c>
      <c r="G649" t="inlineStr"/>
      <c r="H649" t="inlineStr"/>
      <c r="I649" t="inlineStr">
        <is>
          <t>183</t>
        </is>
      </c>
      <c r="J649" t="inlineStr"/>
      <c r="K649" t="inlineStr"/>
      <c r="L649" s="1">
        <f>HYPERLINK("https://www.hi.u-tokyo.ac.jp/collection/degitalgallary/ryukyu/item/20256", "https://www.hi.u-tokyo.ac.jp/collection/degitalgallary/ryukyu/item/20256")</f>
        <v/>
      </c>
    </row>
    <row r="650">
      <c r="A650" t="inlineStr">
        <is>
          <t>20257</t>
        </is>
      </c>
      <c r="B650" t="inlineStr">
        <is>
          <t>船かゝり不成</t>
        </is>
      </c>
      <c r="C650" t="inlineStr">
        <is>
          <t>港湾</t>
        </is>
      </c>
      <c r="D650" t="inlineStr"/>
      <c r="E650" t="inlineStr"/>
      <c r="F650" t="inlineStr">
        <is>
          <t>正保琉球国悪鬼納島絵図写</t>
        </is>
      </c>
      <c r="G650" t="inlineStr"/>
      <c r="H650" t="inlineStr"/>
      <c r="I650" t="inlineStr">
        <is>
          <t>184</t>
        </is>
      </c>
      <c r="J650" t="inlineStr"/>
      <c r="K650" t="inlineStr"/>
      <c r="L650" s="1">
        <f>HYPERLINK("https://www.hi.u-tokyo.ac.jp/collection/degitalgallary/ryukyu/item/20257", "https://www.hi.u-tokyo.ac.jp/collection/degitalgallary/ryukyu/item/20257")</f>
        <v/>
      </c>
    </row>
    <row r="651">
      <c r="A651" t="inlineStr">
        <is>
          <t>20258</t>
        </is>
      </c>
      <c r="B651" t="inlineStr">
        <is>
          <t>戸無嶋ヨリ粟嶋迄、海上八里子丑之間ニ当ル</t>
        </is>
      </c>
      <c r="C651" t="inlineStr">
        <is>
          <t>航路</t>
        </is>
      </c>
      <c r="D651" t="inlineStr"/>
      <c r="E651" t="inlineStr"/>
      <c r="F651" t="inlineStr">
        <is>
          <t>正保琉球国悪鬼納島絵図写</t>
        </is>
      </c>
      <c r="G651" t="inlineStr"/>
      <c r="H651" t="inlineStr"/>
      <c r="I651" t="inlineStr">
        <is>
          <t>185</t>
        </is>
      </c>
      <c r="J651" t="inlineStr"/>
      <c r="K651" t="inlineStr"/>
      <c r="L651" s="1">
        <f>HYPERLINK("https://www.hi.u-tokyo.ac.jp/collection/degitalgallary/ryukyu/item/20258", "https://www.hi.u-tokyo.ac.jp/collection/degitalgallary/ryukyu/item/20258")</f>
        <v/>
      </c>
    </row>
    <row r="652">
      <c r="A652" t="inlineStr">
        <is>
          <t>20259</t>
        </is>
      </c>
      <c r="B652" t="inlineStr">
        <is>
          <t>船かゝり不成</t>
        </is>
      </c>
      <c r="C652" t="inlineStr">
        <is>
          <t>港湾</t>
        </is>
      </c>
      <c r="D652" t="inlineStr"/>
      <c r="E652" t="inlineStr"/>
      <c r="F652" t="inlineStr">
        <is>
          <t>正保琉球国悪鬼納島絵図写</t>
        </is>
      </c>
      <c r="G652" t="inlineStr"/>
      <c r="H652" t="inlineStr"/>
      <c r="I652" t="inlineStr">
        <is>
          <t>186</t>
        </is>
      </c>
      <c r="J652" t="inlineStr"/>
      <c r="K652" t="inlineStr"/>
      <c r="L652" s="1">
        <f>HYPERLINK("https://www.hi.u-tokyo.ac.jp/collection/degitalgallary/ryukyu/item/20259", "https://www.hi.u-tokyo.ac.jp/collection/degitalgallary/ryukyu/item/20259")</f>
        <v/>
      </c>
    </row>
    <row r="653">
      <c r="A653" t="inlineStr">
        <is>
          <t>20260</t>
        </is>
      </c>
      <c r="B653" t="inlineStr">
        <is>
          <t>粟嶋ヨリ伊惠嶋迄、海上廿里寅卯之間ニ当ル</t>
        </is>
      </c>
      <c r="C653" t="inlineStr">
        <is>
          <t>航路</t>
        </is>
      </c>
      <c r="D653" t="inlineStr"/>
      <c r="E653" t="inlineStr"/>
      <c r="F653" t="inlineStr">
        <is>
          <t>正保琉球国悪鬼納島絵図写</t>
        </is>
      </c>
      <c r="G653" t="inlineStr"/>
      <c r="H653" t="inlineStr"/>
      <c r="I653" t="inlineStr">
        <is>
          <t>187</t>
        </is>
      </c>
      <c r="J653" t="inlineStr"/>
      <c r="K653" t="inlineStr"/>
      <c r="L653" s="1">
        <f>HYPERLINK("https://www.hi.u-tokyo.ac.jp/collection/degitalgallary/ryukyu/item/20260", "https://www.hi.u-tokyo.ac.jp/collection/degitalgallary/ryukyu/item/20260")</f>
        <v/>
      </c>
    </row>
    <row r="654">
      <c r="A654" t="inlineStr">
        <is>
          <t>30001</t>
        </is>
      </c>
      <c r="B654" t="inlineStr">
        <is>
          <t xml:space="preserve">　松平薩摩守
琉球国之内
高壱万弐千四百五拾八石七斗九升二合　宮古嶋
高六千六百三拾七石三斗二升一合　八重山嶋
都合高壱万九千九拾六石壱斗壱升三合</t>
        </is>
      </c>
      <c r="C654" t="inlineStr">
        <is>
          <t>畾紙</t>
        </is>
      </c>
      <c r="D654" t="inlineStr"/>
      <c r="E654" t="inlineStr"/>
      <c r="F654" t="inlineStr">
        <is>
          <t>正保琉球国八山島絵図</t>
        </is>
      </c>
      <c r="G654" t="inlineStr"/>
      <c r="H654" t="inlineStr"/>
      <c r="I654" t="inlineStr"/>
      <c r="J654" t="inlineStr"/>
      <c r="K654" t="inlineStr"/>
      <c r="L654" s="1">
        <f>HYPERLINK("https://www.hi.u-tokyo.ac.jp/collection/degitalgallary/ryukyu/item/30001", "https://www.hi.u-tokyo.ac.jp/collection/degitalgallary/ryukyu/item/30001")</f>
        <v/>
      </c>
    </row>
    <row r="655">
      <c r="A655" t="inlineStr">
        <is>
          <t>30002</t>
        </is>
      </c>
      <c r="B655" t="inlineStr">
        <is>
          <t>東</t>
        </is>
      </c>
      <c r="C655" t="inlineStr">
        <is>
          <t>方位</t>
        </is>
      </c>
      <c r="D655" t="inlineStr"/>
      <c r="E655" t="inlineStr"/>
      <c r="F655" t="inlineStr">
        <is>
          <t>正保琉球国八山島絵図</t>
        </is>
      </c>
      <c r="G655" t="inlineStr"/>
      <c r="H655" t="inlineStr"/>
      <c r="I655" t="inlineStr"/>
      <c r="J655" t="inlineStr">
        <is>
          <t>30020480000094900</t>
        </is>
      </c>
      <c r="K655" t="inlineStr"/>
      <c r="L655" s="1">
        <f>HYPERLINK("https://www.hi.u-tokyo.ac.jp/collection/degitalgallary/ryukyu/item/30002", "https://www.hi.u-tokyo.ac.jp/collection/degitalgallary/ryukyu/item/30002")</f>
        <v/>
      </c>
    </row>
    <row r="656">
      <c r="A656" t="inlineStr">
        <is>
          <t>30003</t>
        </is>
      </c>
      <c r="B656" t="inlineStr">
        <is>
          <t>南</t>
        </is>
      </c>
      <c r="C656" t="inlineStr">
        <is>
          <t>方位</t>
        </is>
      </c>
      <c r="D656" t="inlineStr"/>
      <c r="E656" t="inlineStr"/>
      <c r="F656" t="inlineStr">
        <is>
          <t>正保琉球国八山島絵図</t>
        </is>
      </c>
      <c r="G656" t="inlineStr"/>
      <c r="H656" t="inlineStr"/>
      <c r="I656" t="inlineStr"/>
      <c r="J656" t="inlineStr"/>
      <c r="K656" t="inlineStr"/>
      <c r="L656" s="1">
        <f>HYPERLINK("https://www.hi.u-tokyo.ac.jp/collection/degitalgallary/ryukyu/item/30003", "https://www.hi.u-tokyo.ac.jp/collection/degitalgallary/ryukyu/item/30003")</f>
        <v/>
      </c>
    </row>
    <row r="657">
      <c r="A657" t="inlineStr">
        <is>
          <t>30004</t>
        </is>
      </c>
      <c r="B657" t="inlineStr">
        <is>
          <t>北</t>
        </is>
      </c>
      <c r="C657" t="inlineStr">
        <is>
          <t>方位</t>
        </is>
      </c>
      <c r="D657" t="inlineStr"/>
      <c r="E657" t="inlineStr"/>
      <c r="F657" t="inlineStr">
        <is>
          <t>正保琉球国八山島絵図</t>
        </is>
      </c>
      <c r="G657" t="inlineStr"/>
      <c r="H657" t="inlineStr"/>
      <c r="I657" t="inlineStr"/>
      <c r="J657" t="inlineStr"/>
      <c r="K657" t="inlineStr"/>
      <c r="L657" s="1">
        <f>HYPERLINK("https://www.hi.u-tokyo.ac.jp/collection/degitalgallary/ryukyu/item/30004", "https://www.hi.u-tokyo.ac.jp/collection/degitalgallary/ryukyu/item/30004")</f>
        <v/>
      </c>
    </row>
    <row r="658">
      <c r="A658" t="inlineStr">
        <is>
          <t>30005</t>
        </is>
      </c>
      <c r="B658" t="inlineStr">
        <is>
          <t>西</t>
        </is>
      </c>
      <c r="C658" t="inlineStr">
        <is>
          <t>方位</t>
        </is>
      </c>
      <c r="D658" t="inlineStr"/>
      <c r="E658" t="inlineStr"/>
      <c r="F658" t="inlineStr">
        <is>
          <t>正保琉球国八山島絵図</t>
        </is>
      </c>
      <c r="G658" t="inlineStr"/>
      <c r="H658" t="inlineStr"/>
      <c r="I658" t="inlineStr"/>
      <c r="J658" t="inlineStr"/>
      <c r="K658" t="inlineStr"/>
      <c r="L658" s="1">
        <f>HYPERLINK("https://www.hi.u-tokyo.ac.jp/collection/degitalgallary/ryukyu/item/30005", "https://www.hi.u-tokyo.ac.jp/collection/degitalgallary/ryukyu/item/30005")</f>
        <v/>
      </c>
    </row>
    <row r="659">
      <c r="A659" t="inlineStr">
        <is>
          <t>30006</t>
        </is>
      </c>
      <c r="B659" t="inlineStr">
        <is>
          <t>かりまた間切</t>
        </is>
      </c>
      <c r="C659" t="inlineStr">
        <is>
          <t>間切</t>
        </is>
      </c>
      <c r="D659" t="inlineStr">
        <is>
          <t>24.8804021</t>
        </is>
      </c>
      <c r="E659" t="inlineStr">
        <is>
          <t>125.278017</t>
        </is>
      </c>
      <c r="F659" t="inlineStr">
        <is>
          <t>正保琉球国八山島絵図</t>
        </is>
      </c>
      <c r="G659" t="inlineStr">
        <is>
          <t>千五百五十七石余</t>
        </is>
      </c>
      <c r="H659" t="inlineStr"/>
      <c r="I659" t="inlineStr">
        <is>
          <t>〔1〕</t>
        </is>
      </c>
      <c r="J659" t="inlineStr"/>
      <c r="K659" t="inlineStr">
        <is>
          <t>沖縄県宮古島市平良狩俣</t>
        </is>
      </c>
      <c r="L659" s="1">
        <f>HYPERLINK("https://www.hi.u-tokyo.ac.jp/collection/degitalgallary/ryukyu/item/30006", "https://www.hi.u-tokyo.ac.jp/collection/degitalgallary/ryukyu/item/30006")</f>
        <v/>
      </c>
    </row>
    <row r="660">
      <c r="A660" t="inlineStr">
        <is>
          <t>30007</t>
        </is>
      </c>
      <c r="B660" t="inlineStr">
        <is>
          <t>かりまた間切之内嶋尻村</t>
        </is>
      </c>
      <c r="C660" t="inlineStr">
        <is>
          <t>村</t>
        </is>
      </c>
      <c r="D660" t="inlineStr">
        <is>
          <t>24.8691441</t>
        </is>
      </c>
      <c r="E660" t="inlineStr">
        <is>
          <t>125.2958607</t>
        </is>
      </c>
      <c r="F660" t="inlineStr">
        <is>
          <t>正保琉球国八山島絵図</t>
        </is>
      </c>
      <c r="G660" t="inlineStr">
        <is>
          <t>嶋尻村</t>
        </is>
      </c>
      <c r="H660" t="inlineStr"/>
      <c r="I660" t="inlineStr">
        <is>
          <t>〔2〕</t>
        </is>
      </c>
      <c r="J660" t="inlineStr"/>
      <c r="K660" t="inlineStr">
        <is>
          <t>沖縄県宮古島市平良島尻</t>
        </is>
      </c>
      <c r="L660" s="1">
        <f>HYPERLINK("https://www.hi.u-tokyo.ac.jp/collection/degitalgallary/ryukyu/item/30007", "https://www.hi.u-tokyo.ac.jp/collection/degitalgallary/ryukyu/item/30007")</f>
        <v/>
      </c>
    </row>
    <row r="661">
      <c r="A661" t="inlineStr">
        <is>
          <t>30008</t>
        </is>
      </c>
      <c r="B661" t="inlineStr">
        <is>
          <t>平良間切之内入中曽根村</t>
        </is>
      </c>
      <c r="C661" t="inlineStr">
        <is>
          <t>村</t>
        </is>
      </c>
      <c r="D661" t="inlineStr">
        <is>
          <t>24.8126584</t>
        </is>
      </c>
      <c r="E661" t="inlineStr">
        <is>
          <t>125.2999779</t>
        </is>
      </c>
      <c r="F661" t="inlineStr">
        <is>
          <t>正保琉球国八山島絵図</t>
        </is>
      </c>
      <c r="G661" t="inlineStr">
        <is>
          <t>入中曽根村</t>
        </is>
      </c>
      <c r="H661" t="inlineStr"/>
      <c r="I661" t="inlineStr">
        <is>
          <t>〔3〕</t>
        </is>
      </c>
      <c r="J661" t="inlineStr"/>
      <c r="K661" t="inlineStr">
        <is>
          <t>沖縄県宮古島市平良西仲宗根</t>
        </is>
      </c>
      <c r="L661" s="1">
        <f>HYPERLINK("https://www.hi.u-tokyo.ac.jp/collection/degitalgallary/ryukyu/item/30008", "https://www.hi.u-tokyo.ac.jp/collection/degitalgallary/ryukyu/item/30008")</f>
        <v/>
      </c>
    </row>
    <row r="662">
      <c r="A662" t="inlineStr">
        <is>
          <t>30009</t>
        </is>
      </c>
      <c r="B662" t="inlineStr">
        <is>
          <t>平良間切之内あかり中曽根村</t>
        </is>
      </c>
      <c r="C662" t="inlineStr">
        <is>
          <t>村</t>
        </is>
      </c>
      <c r="D662" t="inlineStr">
        <is>
          <t>24.8029179</t>
        </is>
      </c>
      <c r="E662" t="inlineStr">
        <is>
          <t>125.2931157</t>
        </is>
      </c>
      <c r="F662" t="inlineStr">
        <is>
          <t>正保琉球国八山島絵図</t>
        </is>
      </c>
      <c r="G662" t="inlineStr">
        <is>
          <t>あかり中曽根村</t>
        </is>
      </c>
      <c r="H662" t="inlineStr"/>
      <c r="I662" t="inlineStr">
        <is>
          <t>〔4〕</t>
        </is>
      </c>
      <c r="J662" t="inlineStr"/>
      <c r="K662" t="inlineStr">
        <is>
          <t>沖縄県宮古島市平良東仲宗根</t>
        </is>
      </c>
      <c r="L662" s="1">
        <f>HYPERLINK("https://www.hi.u-tokyo.ac.jp/collection/degitalgallary/ryukyu/item/30009", "https://www.hi.u-tokyo.ac.jp/collection/degitalgallary/ryukyu/item/30009")</f>
        <v/>
      </c>
    </row>
    <row r="663">
      <c r="A663" t="inlineStr">
        <is>
          <t>30010</t>
        </is>
      </c>
      <c r="B663" t="inlineStr">
        <is>
          <t>平良間切</t>
        </is>
      </c>
      <c r="C663" t="inlineStr">
        <is>
          <t>間切</t>
        </is>
      </c>
      <c r="D663" t="inlineStr"/>
      <c r="E663" t="inlineStr"/>
      <c r="F663" t="inlineStr">
        <is>
          <t>正保琉球国八山島絵図</t>
        </is>
      </c>
      <c r="G663" t="inlineStr">
        <is>
          <t>三千三百十石余</t>
        </is>
      </c>
      <c r="H663" t="inlineStr"/>
      <c r="I663" t="inlineStr">
        <is>
          <t>〔5〕</t>
        </is>
      </c>
      <c r="J663" t="inlineStr">
        <is>
          <t>30020480000157900</t>
        </is>
      </c>
      <c r="K663" t="inlineStr"/>
      <c r="L663" s="1">
        <f>HYPERLINK("https://www.hi.u-tokyo.ac.jp/collection/degitalgallary/ryukyu/item/30010", "https://www.hi.u-tokyo.ac.jp/collection/degitalgallary/ryukyu/item/30010")</f>
        <v/>
      </c>
    </row>
    <row r="664">
      <c r="A664" t="inlineStr">
        <is>
          <t>30011</t>
        </is>
      </c>
      <c r="B664" t="inlineStr">
        <is>
          <t>平良間切之内新里村</t>
        </is>
      </c>
      <c r="C664" t="inlineStr">
        <is>
          <t>村</t>
        </is>
      </c>
      <c r="D664" t="inlineStr">
        <is>
          <t>24.7832291</t>
        </is>
      </c>
      <c r="E664" t="inlineStr">
        <is>
          <t>125.2944882</t>
        </is>
      </c>
      <c r="F664" t="inlineStr">
        <is>
          <t>正保琉球国八山島絵図</t>
        </is>
      </c>
      <c r="G664" t="inlineStr">
        <is>
          <t>新里村</t>
        </is>
      </c>
      <c r="H664" t="inlineStr"/>
      <c r="I664" t="inlineStr">
        <is>
          <t>〔6〕</t>
        </is>
      </c>
      <c r="J664" t="inlineStr"/>
      <c r="K664" t="inlineStr">
        <is>
          <t>沖縄県宮古島市平良下里</t>
        </is>
      </c>
      <c r="L664" s="1">
        <f>HYPERLINK("https://www.hi.u-tokyo.ac.jp/collection/degitalgallary/ryukyu/item/30011", "https://www.hi.u-tokyo.ac.jp/collection/degitalgallary/ryukyu/item/30011")</f>
        <v/>
      </c>
    </row>
    <row r="665">
      <c r="A665" t="inlineStr">
        <is>
          <t>30012</t>
        </is>
      </c>
      <c r="B665" t="inlineStr">
        <is>
          <t>平良間切之内松原村</t>
        </is>
      </c>
      <c r="C665" t="inlineStr">
        <is>
          <t>村</t>
        </is>
      </c>
      <c r="D665" t="inlineStr">
        <is>
          <t>24.7773606</t>
        </is>
      </c>
      <c r="E665" t="inlineStr">
        <is>
          <t>125.278017</t>
        </is>
      </c>
      <c r="F665" t="inlineStr">
        <is>
          <t>正保琉球国八山島絵図</t>
        </is>
      </c>
      <c r="G665" t="inlineStr">
        <is>
          <t>松原村</t>
        </is>
      </c>
      <c r="H665" t="inlineStr"/>
      <c r="I665" t="inlineStr">
        <is>
          <t>〔7〕</t>
        </is>
      </c>
      <c r="J665" t="inlineStr"/>
      <c r="K665" t="inlineStr">
        <is>
          <t>沖縄県宮古島市平良松原</t>
        </is>
      </c>
      <c r="L665" s="1">
        <f>HYPERLINK("https://www.hi.u-tokyo.ac.jp/collection/degitalgallary/ryukyu/item/30012", "https://www.hi.u-tokyo.ac.jp/collection/degitalgallary/ryukyu/item/30012")</f>
        <v/>
      </c>
    </row>
    <row r="666">
      <c r="A666" t="inlineStr">
        <is>
          <t>30013</t>
        </is>
      </c>
      <c r="B666" t="inlineStr">
        <is>
          <t>下地間切</t>
        </is>
      </c>
      <c r="C666" t="inlineStr">
        <is>
          <t>間切</t>
        </is>
      </c>
      <c r="D666" t="inlineStr"/>
      <c r="E666" t="inlineStr"/>
      <c r="F666" t="inlineStr">
        <is>
          <t>正保琉球国八山島絵図</t>
        </is>
      </c>
      <c r="G666" t="inlineStr">
        <is>
          <t>三千六百七石余</t>
        </is>
      </c>
      <c r="H666" t="inlineStr"/>
      <c r="I666" t="inlineStr">
        <is>
          <t>〔8〕</t>
        </is>
      </c>
      <c r="J666" t="inlineStr">
        <is>
          <t>30020480000166400</t>
        </is>
      </c>
      <c r="K666" t="inlineStr"/>
      <c r="L666" s="1">
        <f>HYPERLINK("https://www.hi.u-tokyo.ac.jp/collection/degitalgallary/ryukyu/item/30013", "https://www.hi.u-tokyo.ac.jp/collection/degitalgallary/ryukyu/item/30013")</f>
        <v/>
      </c>
    </row>
    <row r="667">
      <c r="A667" t="inlineStr">
        <is>
          <t>30014</t>
        </is>
      </c>
      <c r="B667" t="inlineStr">
        <is>
          <t>下地間切之内上地村</t>
        </is>
      </c>
      <c r="C667" t="inlineStr">
        <is>
          <t>村</t>
        </is>
      </c>
      <c r="D667" t="inlineStr"/>
      <c r="E667" t="inlineStr"/>
      <c r="F667" t="inlineStr">
        <is>
          <t>正保琉球国八山島絵図</t>
        </is>
      </c>
      <c r="G667" t="inlineStr">
        <is>
          <t>上地村</t>
        </is>
      </c>
      <c r="H667" t="inlineStr"/>
      <c r="I667" t="inlineStr">
        <is>
          <t>〔9〕</t>
        </is>
      </c>
      <c r="J667" t="inlineStr"/>
      <c r="K667" t="inlineStr"/>
      <c r="L667" s="1">
        <f>HYPERLINK("https://www.hi.u-tokyo.ac.jp/collection/degitalgallary/ryukyu/item/30014", "https://www.hi.u-tokyo.ac.jp/collection/degitalgallary/ryukyu/item/30014")</f>
        <v/>
      </c>
    </row>
    <row r="668">
      <c r="A668" t="inlineStr">
        <is>
          <t>30015</t>
        </is>
      </c>
      <c r="B668" t="inlineStr">
        <is>
          <t>下地間切之内すかま村</t>
        </is>
      </c>
      <c r="C668" t="inlineStr">
        <is>
          <t>村</t>
        </is>
      </c>
      <c r="D668" t="inlineStr"/>
      <c r="E668" t="inlineStr"/>
      <c r="F668" t="inlineStr">
        <is>
          <t>正保琉球国八山島絵図</t>
        </is>
      </c>
      <c r="G668" t="inlineStr">
        <is>
          <t>すかま村</t>
        </is>
      </c>
      <c r="H668" t="inlineStr"/>
      <c r="I668" t="inlineStr">
        <is>
          <t>〔10〕</t>
        </is>
      </c>
      <c r="J668" t="inlineStr"/>
      <c r="K668" t="inlineStr"/>
      <c r="L668" s="1">
        <f>HYPERLINK("https://www.hi.u-tokyo.ac.jp/collection/degitalgallary/ryukyu/item/30015", "https://www.hi.u-tokyo.ac.jp/collection/degitalgallary/ryukyu/item/30015")</f>
        <v/>
      </c>
    </row>
    <row r="669">
      <c r="A669" t="inlineStr">
        <is>
          <t>30016</t>
        </is>
      </c>
      <c r="B669" t="inlineStr">
        <is>
          <t>下地間切之内与那覇村</t>
        </is>
      </c>
      <c r="C669" t="inlineStr">
        <is>
          <t>村</t>
        </is>
      </c>
      <c r="D669" t="inlineStr">
        <is>
          <t>24.7390913</t>
        </is>
      </c>
      <c r="E669" t="inlineStr">
        <is>
          <t>125.2670344</t>
        </is>
      </c>
      <c r="F669" t="inlineStr">
        <is>
          <t>正保琉球国八山島絵図</t>
        </is>
      </c>
      <c r="G669" t="inlineStr">
        <is>
          <t>与那覇村</t>
        </is>
      </c>
      <c r="H669" t="inlineStr"/>
      <c r="I669" t="inlineStr">
        <is>
          <t>〔11〕</t>
        </is>
      </c>
      <c r="J669" t="inlineStr"/>
      <c r="K669" t="inlineStr">
        <is>
          <t>沖縄県宮古島市下地与那覇</t>
        </is>
      </c>
      <c r="L669" s="1">
        <f>HYPERLINK("https://www.hi.u-tokyo.ac.jp/collection/degitalgallary/ryukyu/item/30016", "https://www.hi.u-tokyo.ac.jp/collection/degitalgallary/ryukyu/item/30016")</f>
        <v/>
      </c>
    </row>
    <row r="670">
      <c r="A670" t="inlineStr">
        <is>
          <t>30017</t>
        </is>
      </c>
      <c r="B670" t="inlineStr">
        <is>
          <t>おろか間切之内百名村</t>
        </is>
      </c>
      <c r="C670" t="inlineStr">
        <is>
          <t>村</t>
        </is>
      </c>
      <c r="D670" t="inlineStr">
        <is>
          <t>24.7344366</t>
        </is>
      </c>
      <c r="E670" t="inlineStr">
        <is>
          <t>125.4371006</t>
        </is>
      </c>
      <c r="F670" t="inlineStr">
        <is>
          <t>正保琉球国八山島絵図</t>
        </is>
      </c>
      <c r="G670" t="inlineStr">
        <is>
          <t>百名村</t>
        </is>
      </c>
      <c r="H670" t="inlineStr"/>
      <c r="I670" t="inlineStr">
        <is>
          <t>〔12〕</t>
        </is>
      </c>
      <c r="J670" t="inlineStr"/>
      <c r="K670" t="inlineStr">
        <is>
          <t>沖縄県宮古島市城辺保良</t>
        </is>
      </c>
      <c r="L670" s="1">
        <f>HYPERLINK("https://www.hi.u-tokyo.ac.jp/collection/degitalgallary/ryukyu/item/30017", "https://www.hi.u-tokyo.ac.jp/collection/degitalgallary/ryukyu/item/30017")</f>
        <v/>
      </c>
    </row>
    <row r="671">
      <c r="A671" t="inlineStr">
        <is>
          <t>30018</t>
        </is>
      </c>
      <c r="B671" t="inlineStr">
        <is>
          <t>おろか間切之内中きや泊村</t>
        </is>
      </c>
      <c r="C671" t="inlineStr">
        <is>
          <t>村</t>
        </is>
      </c>
      <c r="D671" t="inlineStr"/>
      <c r="E671" t="inlineStr"/>
      <c r="F671" t="inlineStr">
        <is>
          <t>正保琉球国八山島絵図</t>
        </is>
      </c>
      <c r="G671" t="inlineStr">
        <is>
          <t>中きや泊村</t>
        </is>
      </c>
      <c r="H671" t="inlineStr"/>
      <c r="I671" t="inlineStr">
        <is>
          <t>〔13〕</t>
        </is>
      </c>
      <c r="J671" t="inlineStr"/>
      <c r="K671" t="inlineStr"/>
      <c r="L671" s="1">
        <f>HYPERLINK("https://www.hi.u-tokyo.ac.jp/collection/degitalgallary/ryukyu/item/30018", "https://www.hi.u-tokyo.ac.jp/collection/degitalgallary/ryukyu/item/30018")</f>
        <v/>
      </c>
    </row>
    <row r="672">
      <c r="A672" t="inlineStr">
        <is>
          <t>30019</t>
        </is>
      </c>
      <c r="B672" t="inlineStr">
        <is>
          <t>おろか間切之内きんす川村</t>
        </is>
      </c>
      <c r="C672" t="inlineStr">
        <is>
          <t>村</t>
        </is>
      </c>
      <c r="D672" t="inlineStr"/>
      <c r="E672" t="inlineStr"/>
      <c r="F672" t="inlineStr">
        <is>
          <t>正保琉球国八山島絵図</t>
        </is>
      </c>
      <c r="G672" t="inlineStr">
        <is>
          <t>きんす川村</t>
        </is>
      </c>
      <c r="H672" t="inlineStr"/>
      <c r="I672" t="inlineStr">
        <is>
          <t>〔14〕</t>
        </is>
      </c>
      <c r="J672" t="inlineStr"/>
      <c r="K672" t="inlineStr"/>
      <c r="L672" s="1">
        <f>HYPERLINK("https://www.hi.u-tokyo.ac.jp/collection/degitalgallary/ryukyu/item/30019", "https://www.hi.u-tokyo.ac.jp/collection/degitalgallary/ryukyu/item/30019")</f>
        <v/>
      </c>
    </row>
    <row r="673">
      <c r="A673" t="inlineStr">
        <is>
          <t>30020</t>
        </is>
      </c>
      <c r="B673" t="inlineStr">
        <is>
          <t>おろか間切之内友利村</t>
        </is>
      </c>
      <c r="C673" t="inlineStr">
        <is>
          <t>村</t>
        </is>
      </c>
      <c r="D673" t="inlineStr">
        <is>
          <t>24.7316171</t>
        </is>
      </c>
      <c r="E673" t="inlineStr">
        <is>
          <t>125.3713103</t>
        </is>
      </c>
      <c r="F673" t="inlineStr">
        <is>
          <t>正保琉球国八山島絵図</t>
        </is>
      </c>
      <c r="G673" t="inlineStr">
        <is>
          <t>友利村</t>
        </is>
      </c>
      <c r="H673" t="inlineStr"/>
      <c r="I673" t="inlineStr">
        <is>
          <t>〔15〕</t>
        </is>
      </c>
      <c r="J673" t="inlineStr"/>
      <c r="K673" t="inlineStr">
        <is>
          <t>沖縄県宮古島市城辺友利</t>
        </is>
      </c>
      <c r="L673" s="1">
        <f>HYPERLINK("https://www.hi.u-tokyo.ac.jp/collection/degitalgallary/ryukyu/item/30020", "https://www.hi.u-tokyo.ac.jp/collection/degitalgallary/ryukyu/item/30020")</f>
        <v/>
      </c>
    </row>
    <row r="674">
      <c r="A674" t="inlineStr">
        <is>
          <t>30021</t>
        </is>
      </c>
      <c r="B674" t="inlineStr">
        <is>
          <t>おろか間切</t>
        </is>
      </c>
      <c r="C674" t="inlineStr">
        <is>
          <t>間切</t>
        </is>
      </c>
      <c r="D674" t="inlineStr"/>
      <c r="E674" t="inlineStr"/>
      <c r="F674" t="inlineStr">
        <is>
          <t>正保琉球国八山島絵図</t>
        </is>
      </c>
      <c r="G674" t="inlineStr">
        <is>
          <t>三千三百八十九石余</t>
        </is>
      </c>
      <c r="H674" t="inlineStr"/>
      <c r="I674" t="inlineStr">
        <is>
          <t>〔16〕</t>
        </is>
      </c>
      <c r="J674" t="inlineStr"/>
      <c r="K674" t="inlineStr"/>
      <c r="L674" s="1">
        <f>HYPERLINK("https://www.hi.u-tokyo.ac.jp/collection/degitalgallary/ryukyu/item/30021", "https://www.hi.u-tokyo.ac.jp/collection/degitalgallary/ryukyu/item/30021")</f>
        <v/>
      </c>
    </row>
    <row r="675">
      <c r="A675" t="inlineStr">
        <is>
          <t>30022</t>
        </is>
      </c>
      <c r="B675" t="inlineStr">
        <is>
          <t>おろか間切之内荒里村</t>
        </is>
      </c>
      <c r="C675" t="inlineStr">
        <is>
          <t>村</t>
        </is>
      </c>
      <c r="D675" t="inlineStr">
        <is>
          <t>24.7301915</t>
        </is>
      </c>
      <c r="E675" t="inlineStr">
        <is>
          <t>125.3383954</t>
        </is>
      </c>
      <c r="F675" t="inlineStr">
        <is>
          <t>正保琉球国八山島絵図</t>
        </is>
      </c>
      <c r="G675" t="inlineStr">
        <is>
          <t>荒里村</t>
        </is>
      </c>
      <c r="H675" t="inlineStr"/>
      <c r="I675" t="inlineStr">
        <is>
          <t>〔17〕</t>
        </is>
      </c>
      <c r="J675" t="inlineStr"/>
      <c r="K675" t="inlineStr">
        <is>
          <t>沖縄県宮古島市上野新里</t>
        </is>
      </c>
      <c r="L675" s="1">
        <f>HYPERLINK("https://www.hi.u-tokyo.ac.jp/collection/degitalgallary/ryukyu/item/30022", "https://www.hi.u-tokyo.ac.jp/collection/degitalgallary/ryukyu/item/30022")</f>
        <v/>
      </c>
    </row>
    <row r="676">
      <c r="A676" t="inlineStr">
        <is>
          <t>30023</t>
        </is>
      </c>
      <c r="B676" t="inlineStr">
        <is>
          <t>おろか間切之内宮国村</t>
        </is>
      </c>
      <c r="C676" t="inlineStr">
        <is>
          <t>村</t>
        </is>
      </c>
      <c r="D676" t="inlineStr">
        <is>
          <t>24.7243238</t>
        </is>
      </c>
      <c r="E676" t="inlineStr">
        <is>
          <t>125.3219329</t>
        </is>
      </c>
      <c r="F676" t="inlineStr">
        <is>
          <t>正保琉球国八山島絵図</t>
        </is>
      </c>
      <c r="G676" t="inlineStr">
        <is>
          <t>宮国村</t>
        </is>
      </c>
      <c r="H676" t="inlineStr"/>
      <c r="I676" t="inlineStr">
        <is>
          <t>〔18〕</t>
        </is>
      </c>
      <c r="J676" t="inlineStr"/>
      <c r="K676" t="inlineStr">
        <is>
          <t>沖縄県宮古島市上野宮国</t>
        </is>
      </c>
      <c r="L676" s="1">
        <f>HYPERLINK("https://www.hi.u-tokyo.ac.jp/collection/degitalgallary/ryukyu/item/30023", "https://www.hi.u-tokyo.ac.jp/collection/degitalgallary/ryukyu/item/30023")</f>
        <v/>
      </c>
    </row>
    <row r="677">
      <c r="A677" t="inlineStr">
        <is>
          <t>30024</t>
        </is>
      </c>
      <c r="B677" t="inlineStr">
        <is>
          <t>くかい村</t>
        </is>
      </c>
      <c r="C677" t="inlineStr">
        <is>
          <t>村</t>
        </is>
      </c>
      <c r="D677" t="inlineStr">
        <is>
          <t>24.7957754</t>
        </is>
      </c>
      <c r="E677" t="inlineStr">
        <is>
          <t>125.2670344</t>
        </is>
      </c>
      <c r="F677" t="inlineStr">
        <is>
          <t>正保琉球国八山島絵図</t>
        </is>
      </c>
      <c r="G677" t="inlineStr">
        <is>
          <t>弐百五十四石余</t>
        </is>
      </c>
      <c r="H677" t="inlineStr"/>
      <c r="I677" t="inlineStr">
        <is>
          <t>〔19〕</t>
        </is>
      </c>
      <c r="J677" t="inlineStr"/>
      <c r="K677" t="inlineStr">
        <is>
          <t>沖縄県宮古島市平良久貝</t>
        </is>
      </c>
      <c r="L677" s="1">
        <f>HYPERLINK("https://www.hi.u-tokyo.ac.jp/collection/degitalgallary/ryukyu/item/30024", "https://www.hi.u-tokyo.ac.jp/collection/degitalgallary/ryukyu/item/30024")</f>
        <v/>
      </c>
    </row>
    <row r="678">
      <c r="A678" t="inlineStr">
        <is>
          <t>30025</t>
        </is>
      </c>
      <c r="B678" t="inlineStr">
        <is>
          <t>たらま嶋</t>
        </is>
      </c>
      <c r="C678" t="inlineStr">
        <is>
          <t>島</t>
        </is>
      </c>
      <c r="D678" t="inlineStr">
        <is>
          <t>24.6555311</t>
        </is>
      </c>
      <c r="E678" t="inlineStr">
        <is>
          <t>124.6967094</t>
        </is>
      </c>
      <c r="F678" t="inlineStr">
        <is>
          <t>正保琉球国八山島絵図</t>
        </is>
      </c>
      <c r="G678" t="inlineStr">
        <is>
          <t>三百卅八石余</t>
        </is>
      </c>
      <c r="H678" t="inlineStr"/>
      <c r="I678" t="inlineStr">
        <is>
          <t>〔20〕</t>
        </is>
      </c>
      <c r="J678" t="inlineStr"/>
      <c r="K678" t="inlineStr">
        <is>
          <t>沖縄県宮古郡多良間村仲筋</t>
        </is>
      </c>
      <c r="L678" s="1">
        <f>HYPERLINK("https://www.hi.u-tokyo.ac.jp/collection/degitalgallary/ryukyu/item/30025", "https://www.hi.u-tokyo.ac.jp/collection/degitalgallary/ryukyu/item/30025")</f>
        <v/>
      </c>
    </row>
    <row r="679">
      <c r="A679" t="inlineStr">
        <is>
          <t>30026</t>
        </is>
      </c>
      <c r="B679" t="inlineStr">
        <is>
          <t>川平間切之内きやか村</t>
        </is>
      </c>
      <c r="C679" t="inlineStr">
        <is>
          <t>村</t>
        </is>
      </c>
      <c r="D679" t="inlineStr"/>
      <c r="E679" t="inlineStr"/>
      <c r="F679" t="inlineStr">
        <is>
          <t>正保琉球国八山島絵図</t>
        </is>
      </c>
      <c r="G679" t="inlineStr">
        <is>
          <t>きやか村</t>
        </is>
      </c>
      <c r="H679" t="inlineStr"/>
      <c r="I679" t="inlineStr">
        <is>
          <t>〔21〕</t>
        </is>
      </c>
      <c r="J679" t="inlineStr"/>
      <c r="K679" t="inlineStr"/>
      <c r="L679" s="1">
        <f>HYPERLINK("https://www.hi.u-tokyo.ac.jp/collection/degitalgallary/ryukyu/item/30026", "https://www.hi.u-tokyo.ac.jp/collection/degitalgallary/ryukyu/item/30026")</f>
        <v/>
      </c>
    </row>
    <row r="680">
      <c r="A680" t="inlineStr">
        <is>
          <t>30027</t>
        </is>
      </c>
      <c r="B680" t="inlineStr">
        <is>
          <t>川平間切之内ふかい村</t>
        </is>
      </c>
      <c r="C680" t="inlineStr">
        <is>
          <t>村</t>
        </is>
      </c>
      <c r="D680" t="inlineStr"/>
      <c r="E680" t="inlineStr"/>
      <c r="F680" t="inlineStr">
        <is>
          <t>正保琉球国八山島絵図</t>
        </is>
      </c>
      <c r="G680" t="inlineStr">
        <is>
          <t>ふかい村</t>
        </is>
      </c>
      <c r="H680" t="inlineStr"/>
      <c r="I680" t="inlineStr">
        <is>
          <t>〔22〕</t>
        </is>
      </c>
      <c r="J680" t="inlineStr"/>
      <c r="K680" t="inlineStr"/>
      <c r="L680" s="1">
        <f>HYPERLINK("https://www.hi.u-tokyo.ac.jp/collection/degitalgallary/ryukyu/item/30027", "https://www.hi.u-tokyo.ac.jp/collection/degitalgallary/ryukyu/item/30027")</f>
        <v/>
      </c>
    </row>
    <row r="681">
      <c r="A681" t="inlineStr">
        <is>
          <t>30028</t>
        </is>
      </c>
      <c r="B681" t="inlineStr">
        <is>
          <t>川平間切之内中筋村</t>
        </is>
      </c>
      <c r="C681" t="inlineStr">
        <is>
          <t>村</t>
        </is>
      </c>
      <c r="D681" t="inlineStr"/>
      <c r="E681" t="inlineStr"/>
      <c r="F681" t="inlineStr">
        <is>
          <t>正保琉球国八山島絵図</t>
        </is>
      </c>
      <c r="G681" t="inlineStr">
        <is>
          <t>中筋村</t>
        </is>
      </c>
      <c r="H681" t="inlineStr"/>
      <c r="I681" t="inlineStr">
        <is>
          <t>〔23〕</t>
        </is>
      </c>
      <c r="J681" t="inlineStr"/>
      <c r="K681" t="inlineStr"/>
      <c r="L681" s="1">
        <f>HYPERLINK("https://www.hi.u-tokyo.ac.jp/collection/degitalgallary/ryukyu/item/30028", "https://www.hi.u-tokyo.ac.jp/collection/degitalgallary/ryukyu/item/30028")</f>
        <v/>
      </c>
    </row>
    <row r="682">
      <c r="A682" t="inlineStr">
        <is>
          <t>30029</t>
        </is>
      </c>
      <c r="B682" t="inlineStr">
        <is>
          <t>川平間切</t>
        </is>
      </c>
      <c r="C682" t="inlineStr">
        <is>
          <t>間切</t>
        </is>
      </c>
      <c r="D682" t="inlineStr"/>
      <c r="E682" t="inlineStr"/>
      <c r="F682" t="inlineStr">
        <is>
          <t>正保琉球国八山島絵図</t>
        </is>
      </c>
      <c r="G682" t="inlineStr">
        <is>
          <t>弐百四十二石余</t>
        </is>
      </c>
      <c r="H682" t="inlineStr"/>
      <c r="I682" t="inlineStr">
        <is>
          <t>〔24〕</t>
        </is>
      </c>
      <c r="J682" t="inlineStr">
        <is>
          <t>30020480000174500</t>
        </is>
      </c>
      <c r="K682" t="inlineStr"/>
      <c r="L682" s="1">
        <f>HYPERLINK("https://www.hi.u-tokyo.ac.jp/collection/degitalgallary/ryukyu/item/30029", "https://www.hi.u-tokyo.ac.jp/collection/degitalgallary/ryukyu/item/30029")</f>
        <v/>
      </c>
    </row>
    <row r="683">
      <c r="A683" t="inlineStr">
        <is>
          <t>30030</t>
        </is>
      </c>
      <c r="B683" t="inlineStr">
        <is>
          <t>石墻間切之内崎枝村</t>
        </is>
      </c>
      <c r="C683" t="inlineStr">
        <is>
          <t>村</t>
        </is>
      </c>
      <c r="D683" t="inlineStr"/>
      <c r="E683" t="inlineStr"/>
      <c r="F683" t="inlineStr">
        <is>
          <t>正保琉球国八山島絵図</t>
        </is>
      </c>
      <c r="G683" t="inlineStr">
        <is>
          <t>崎枝村</t>
        </is>
      </c>
      <c r="H683" t="inlineStr"/>
      <c r="I683" t="inlineStr">
        <is>
          <t>〔25〕</t>
        </is>
      </c>
      <c r="J683" t="inlineStr"/>
      <c r="K683" t="inlineStr"/>
      <c r="L683" s="1">
        <f>HYPERLINK("https://www.hi.u-tokyo.ac.jp/collection/degitalgallary/ryukyu/item/30030", "https://www.hi.u-tokyo.ac.jp/collection/degitalgallary/ryukyu/item/30030")</f>
        <v/>
      </c>
    </row>
    <row r="684">
      <c r="A684" t="inlineStr">
        <is>
          <t>30031</t>
        </is>
      </c>
      <c r="B684" t="inlineStr">
        <is>
          <t>石墻間切之内なくら村</t>
        </is>
      </c>
      <c r="C684" t="inlineStr">
        <is>
          <t>村</t>
        </is>
      </c>
      <c r="D684" t="inlineStr"/>
      <c r="E684" t="inlineStr"/>
      <c r="F684" t="inlineStr">
        <is>
          <t>正保琉球国八山島絵図</t>
        </is>
      </c>
      <c r="G684" t="inlineStr">
        <is>
          <t>なくら村</t>
        </is>
      </c>
      <c r="H684" t="inlineStr"/>
      <c r="I684" t="inlineStr">
        <is>
          <t>〔26〕</t>
        </is>
      </c>
      <c r="J684" t="inlineStr"/>
      <c r="K684" t="inlineStr"/>
      <c r="L684" s="1">
        <f>HYPERLINK("https://www.hi.u-tokyo.ac.jp/collection/degitalgallary/ryukyu/item/30031", "https://www.hi.u-tokyo.ac.jp/collection/degitalgallary/ryukyu/item/30031")</f>
        <v/>
      </c>
    </row>
    <row r="685">
      <c r="A685" t="inlineStr">
        <is>
          <t>30032</t>
        </is>
      </c>
      <c r="B685" t="inlineStr">
        <is>
          <t>石墻間切</t>
        </is>
      </c>
      <c r="C685" t="inlineStr">
        <is>
          <t>間切</t>
        </is>
      </c>
      <c r="D685" t="inlineStr"/>
      <c r="E685" t="inlineStr"/>
      <c r="F685" t="inlineStr">
        <is>
          <t>正保琉球国八山島絵図</t>
        </is>
      </c>
      <c r="G685" t="inlineStr">
        <is>
          <t>九百八十石余</t>
        </is>
      </c>
      <c r="H685" t="inlineStr"/>
      <c r="I685" t="inlineStr">
        <is>
          <t>〔27〕</t>
        </is>
      </c>
      <c r="J685" t="inlineStr"/>
      <c r="K685" t="inlineStr"/>
      <c r="L685" s="1">
        <f>HYPERLINK("https://www.hi.u-tokyo.ac.jp/collection/degitalgallary/ryukyu/item/30032", "https://www.hi.u-tokyo.ac.jp/collection/degitalgallary/ryukyu/item/30032")</f>
        <v/>
      </c>
    </row>
    <row r="686">
      <c r="A686" t="inlineStr">
        <is>
          <t>30033</t>
        </is>
      </c>
      <c r="B686" t="inlineStr">
        <is>
          <t>石墻間切之内殿城村</t>
        </is>
      </c>
      <c r="C686" t="inlineStr">
        <is>
          <t>村</t>
        </is>
      </c>
      <c r="D686" t="inlineStr"/>
      <c r="E686" t="inlineStr"/>
      <c r="F686" t="inlineStr">
        <is>
          <t>正保琉球国八山島絵図</t>
        </is>
      </c>
      <c r="G686" t="inlineStr">
        <is>
          <t>殿城村</t>
        </is>
      </c>
      <c r="H686" t="inlineStr"/>
      <c r="I686" t="inlineStr">
        <is>
          <t>〔28〕</t>
        </is>
      </c>
      <c r="J686" t="inlineStr"/>
      <c r="K686" t="inlineStr"/>
      <c r="L686" s="1">
        <f>HYPERLINK("https://www.hi.u-tokyo.ac.jp/collection/degitalgallary/ryukyu/item/30033", "https://www.hi.u-tokyo.ac.jp/collection/degitalgallary/ryukyu/item/30033")</f>
        <v/>
      </c>
    </row>
    <row r="687">
      <c r="A687" t="inlineStr">
        <is>
          <t>30034</t>
        </is>
      </c>
      <c r="B687" t="inlineStr">
        <is>
          <t>大浜間切</t>
        </is>
      </c>
      <c r="C687" t="inlineStr">
        <is>
          <t>間切</t>
        </is>
      </c>
      <c r="D687" t="inlineStr"/>
      <c r="E687" t="inlineStr"/>
      <c r="F687" t="inlineStr">
        <is>
          <t>正保琉球国八山島絵図</t>
        </is>
      </c>
      <c r="G687" t="inlineStr">
        <is>
          <t>千四拾四石余</t>
        </is>
      </c>
      <c r="H687" t="inlineStr"/>
      <c r="I687" t="inlineStr">
        <is>
          <t>〔29〕</t>
        </is>
      </c>
      <c r="J687" t="inlineStr">
        <is>
          <t>30020480000174300</t>
        </is>
      </c>
      <c r="K687" t="inlineStr"/>
      <c r="L687" s="1">
        <f>HYPERLINK("https://www.hi.u-tokyo.ac.jp/collection/degitalgallary/ryukyu/item/30034", "https://www.hi.u-tokyo.ac.jp/collection/degitalgallary/ryukyu/item/30034")</f>
        <v/>
      </c>
    </row>
    <row r="688">
      <c r="A688" t="inlineStr">
        <is>
          <t>30035</t>
        </is>
      </c>
      <c r="B688" t="inlineStr">
        <is>
          <t>宮良間切</t>
        </is>
      </c>
      <c r="C688" t="inlineStr">
        <is>
          <t>間切</t>
        </is>
      </c>
      <c r="D688" t="inlineStr"/>
      <c r="E688" t="inlineStr"/>
      <c r="F688" t="inlineStr">
        <is>
          <t>正保琉球国八山島絵図</t>
        </is>
      </c>
      <c r="G688" t="inlineStr">
        <is>
          <t>弐百七十石余</t>
        </is>
      </c>
      <c r="H688" t="inlineStr"/>
      <c r="I688" t="inlineStr">
        <is>
          <t>〔30〕</t>
        </is>
      </c>
      <c r="J688" t="inlineStr">
        <is>
          <t>30020480000174400</t>
        </is>
      </c>
      <c r="K688" t="inlineStr"/>
      <c r="L688" s="1">
        <f>HYPERLINK("https://www.hi.u-tokyo.ac.jp/collection/degitalgallary/ryukyu/item/30035", "https://www.hi.u-tokyo.ac.jp/collection/degitalgallary/ryukyu/item/30035")</f>
        <v/>
      </c>
    </row>
    <row r="689">
      <c r="A689" t="inlineStr">
        <is>
          <t>30036</t>
        </is>
      </c>
      <c r="B689" t="inlineStr">
        <is>
          <t>宮良間切之内しらほ村</t>
        </is>
      </c>
      <c r="C689" t="inlineStr">
        <is>
          <t>村</t>
        </is>
      </c>
      <c r="D689" t="inlineStr"/>
      <c r="E689" t="inlineStr"/>
      <c r="F689" t="inlineStr">
        <is>
          <t>正保琉球国八山島絵図</t>
        </is>
      </c>
      <c r="G689" t="inlineStr">
        <is>
          <t>しらほ村</t>
        </is>
      </c>
      <c r="H689" t="inlineStr"/>
      <c r="I689" t="inlineStr">
        <is>
          <t>〔31〕</t>
        </is>
      </c>
      <c r="J689" t="inlineStr"/>
      <c r="K689" t="inlineStr"/>
      <c r="L689" s="1">
        <f>HYPERLINK("https://www.hi.u-tokyo.ac.jp/collection/degitalgallary/ryukyu/item/30036", "https://www.hi.u-tokyo.ac.jp/collection/degitalgallary/ryukyu/item/30036")</f>
        <v/>
      </c>
    </row>
    <row r="690">
      <c r="A690" t="inlineStr">
        <is>
          <t>30037</t>
        </is>
      </c>
      <c r="B690" t="inlineStr">
        <is>
          <t>たけとみ嶋</t>
        </is>
      </c>
      <c r="C690" t="inlineStr">
        <is>
          <t>島</t>
        </is>
      </c>
      <c r="D690" t="inlineStr">
        <is>
          <t>24.3267023</t>
        </is>
      </c>
      <c r="E690" t="inlineStr">
        <is>
          <t>124.0893962</t>
        </is>
      </c>
      <c r="F690" t="inlineStr">
        <is>
          <t>正保琉球国八山島絵図</t>
        </is>
      </c>
      <c r="G690" t="inlineStr">
        <is>
          <t>五十弐石余</t>
        </is>
      </c>
      <c r="H690" t="inlineStr"/>
      <c r="I690" t="inlineStr">
        <is>
          <t>〔32〕</t>
        </is>
      </c>
      <c r="J690" t="inlineStr"/>
      <c r="K690" t="inlineStr">
        <is>
          <t>沖縄県八重山郡竹富町竹富</t>
        </is>
      </c>
      <c r="L690" s="1">
        <f>HYPERLINK("https://www.hi.u-tokyo.ac.jp/collection/degitalgallary/ryukyu/item/30037", "https://www.hi.u-tokyo.ac.jp/collection/degitalgallary/ryukyu/item/30037")</f>
        <v/>
      </c>
    </row>
    <row r="691">
      <c r="A691" t="inlineStr">
        <is>
          <t>30038</t>
        </is>
      </c>
      <c r="B691" t="inlineStr">
        <is>
          <t>黒嶋</t>
        </is>
      </c>
      <c r="C691" t="inlineStr">
        <is>
          <t>島</t>
        </is>
      </c>
      <c r="D691" t="inlineStr">
        <is>
          <t>24.2339257</t>
        </is>
      </c>
      <c r="E691" t="inlineStr">
        <is>
          <t>124.0140113</t>
        </is>
      </c>
      <c r="F691" t="inlineStr">
        <is>
          <t>正保琉球国八山島絵図</t>
        </is>
      </c>
      <c r="G691" t="inlineStr">
        <is>
          <t>弐百八十六石余</t>
        </is>
      </c>
      <c r="H691" t="inlineStr"/>
      <c r="I691" t="inlineStr">
        <is>
          <t>〔33〕</t>
        </is>
      </c>
      <c r="J691" t="inlineStr"/>
      <c r="K691" t="inlineStr">
        <is>
          <t>沖縄県八重山郡竹富町黒島</t>
        </is>
      </c>
      <c r="L691" s="1">
        <f>HYPERLINK("https://www.hi.u-tokyo.ac.jp/collection/degitalgallary/ryukyu/item/30038", "https://www.hi.u-tokyo.ac.jp/collection/degitalgallary/ryukyu/item/30038")</f>
        <v/>
      </c>
    </row>
    <row r="692">
      <c r="A692" t="inlineStr">
        <is>
          <t>30039</t>
        </is>
      </c>
      <c r="B692" t="inlineStr">
        <is>
          <t>波照間嶋</t>
        </is>
      </c>
      <c r="C692" t="inlineStr">
        <is>
          <t>島</t>
        </is>
      </c>
      <c r="D692" t="inlineStr">
        <is>
          <t>24.0631677</t>
        </is>
      </c>
      <c r="E692" t="inlineStr">
        <is>
          <t>123.7797054</t>
        </is>
      </c>
      <c r="F692" t="inlineStr">
        <is>
          <t>正保琉球国八山島絵図</t>
        </is>
      </c>
      <c r="G692" t="inlineStr">
        <is>
          <t>四百廿七石余</t>
        </is>
      </c>
      <c r="H692" t="inlineStr"/>
      <c r="I692" t="inlineStr">
        <is>
          <t>〔34〕</t>
        </is>
      </c>
      <c r="J692" t="inlineStr"/>
      <c r="K692" t="inlineStr">
        <is>
          <t>沖縄県八重山郡竹富町波照間</t>
        </is>
      </c>
      <c r="L692" s="1">
        <f>HYPERLINK("https://www.hi.u-tokyo.ac.jp/collection/degitalgallary/ryukyu/item/30039", "https://www.hi.u-tokyo.ac.jp/collection/degitalgallary/ryukyu/item/30039")</f>
        <v/>
      </c>
    </row>
    <row r="693">
      <c r="A693" t="inlineStr">
        <is>
          <t>30040</t>
        </is>
      </c>
      <c r="B693" t="inlineStr">
        <is>
          <t>小浜嶋</t>
        </is>
      </c>
      <c r="C693" t="inlineStr">
        <is>
          <t>島</t>
        </is>
      </c>
      <c r="D693" t="inlineStr">
        <is>
          <t>24.3466078</t>
        </is>
      </c>
      <c r="E693" t="inlineStr">
        <is>
          <t>123.9805756</t>
        </is>
      </c>
      <c r="F693" t="inlineStr">
        <is>
          <t>正保琉球国八山島絵図</t>
        </is>
      </c>
      <c r="G693" t="inlineStr">
        <is>
          <t>弐百七十四石余</t>
        </is>
      </c>
      <c r="H693" t="inlineStr"/>
      <c r="I693" t="inlineStr">
        <is>
          <t>〔35〕</t>
        </is>
      </c>
      <c r="J693" t="inlineStr"/>
      <c r="K693" t="inlineStr">
        <is>
          <t>沖縄県八重山郡竹富町小浜</t>
        </is>
      </c>
      <c r="L693" s="1">
        <f>HYPERLINK("https://www.hi.u-tokyo.ac.jp/collection/degitalgallary/ryukyu/item/30040", "https://www.hi.u-tokyo.ac.jp/collection/degitalgallary/ryukyu/item/30040")</f>
        <v/>
      </c>
    </row>
    <row r="694">
      <c r="A694" t="inlineStr">
        <is>
          <t>30041</t>
        </is>
      </c>
      <c r="B694" t="inlineStr">
        <is>
          <t>こみ間切之内ひけ川村</t>
        </is>
      </c>
      <c r="C694" t="inlineStr">
        <is>
          <t>村</t>
        </is>
      </c>
      <c r="D694" t="inlineStr"/>
      <c r="E694" t="inlineStr"/>
      <c r="F694" t="inlineStr">
        <is>
          <t>正保琉球国八山島絵図</t>
        </is>
      </c>
      <c r="G694" t="inlineStr">
        <is>
          <t>ひけ川村</t>
        </is>
      </c>
      <c r="H694" t="inlineStr"/>
      <c r="I694" t="inlineStr">
        <is>
          <t>〔36〕</t>
        </is>
      </c>
      <c r="J694" t="inlineStr"/>
      <c r="K694" t="inlineStr"/>
      <c r="L694" s="1">
        <f>HYPERLINK("https://www.hi.u-tokyo.ac.jp/collection/degitalgallary/ryukyu/item/30041", "https://www.hi.u-tokyo.ac.jp/collection/degitalgallary/ryukyu/item/30041")</f>
        <v/>
      </c>
    </row>
    <row r="695">
      <c r="A695" t="inlineStr">
        <is>
          <t>30042</t>
        </is>
      </c>
      <c r="B695" t="inlineStr">
        <is>
          <t>こみ間切之内平川村</t>
        </is>
      </c>
      <c r="C695" t="inlineStr">
        <is>
          <t>村</t>
        </is>
      </c>
      <c r="D695" t="inlineStr">
        <is>
          <t>24.3691646</t>
        </is>
      </c>
      <c r="E695" t="inlineStr">
        <is>
          <t>123.8913539</t>
        </is>
      </c>
      <c r="F695" t="inlineStr">
        <is>
          <t>正保琉球国八山島絵図</t>
        </is>
      </c>
      <c r="G695" t="inlineStr">
        <is>
          <t>平川村</t>
        </is>
      </c>
      <c r="H695" t="inlineStr"/>
      <c r="I695" t="inlineStr">
        <is>
          <t>〔37〕</t>
        </is>
      </c>
      <c r="J695" t="inlineStr"/>
      <c r="K695" t="inlineStr">
        <is>
          <t>沖縄県八重山郡竹富町高那</t>
        </is>
      </c>
      <c r="L695" s="1">
        <f>HYPERLINK("https://www.hi.u-tokyo.ac.jp/collection/degitalgallary/ryukyu/item/30042", "https://www.hi.u-tokyo.ac.jp/collection/degitalgallary/ryukyu/item/30042")</f>
        <v/>
      </c>
    </row>
    <row r="696">
      <c r="A696" t="inlineStr">
        <is>
          <t>30043</t>
        </is>
      </c>
      <c r="B696" t="inlineStr">
        <is>
          <t>こみ間切之内平西村</t>
        </is>
      </c>
      <c r="C696" t="inlineStr">
        <is>
          <t>村</t>
        </is>
      </c>
      <c r="D696" t="inlineStr"/>
      <c r="E696" t="inlineStr"/>
      <c r="F696" t="inlineStr">
        <is>
          <t>正保琉球国八山島絵図</t>
        </is>
      </c>
      <c r="G696" t="inlineStr">
        <is>
          <t>平西村</t>
        </is>
      </c>
      <c r="H696" t="inlineStr"/>
      <c r="I696" t="inlineStr">
        <is>
          <t>〔38〕</t>
        </is>
      </c>
      <c r="J696" t="inlineStr"/>
      <c r="K696" t="inlineStr"/>
      <c r="L696" s="1">
        <f>HYPERLINK("https://www.hi.u-tokyo.ac.jp/collection/degitalgallary/ryukyu/item/30043", "https://www.hi.u-tokyo.ac.jp/collection/degitalgallary/ryukyu/item/30043")</f>
        <v/>
      </c>
    </row>
    <row r="697">
      <c r="A697" t="inlineStr">
        <is>
          <t>30044</t>
        </is>
      </c>
      <c r="B697" t="inlineStr">
        <is>
          <t>こみ間切</t>
        </is>
      </c>
      <c r="C697" t="inlineStr">
        <is>
          <t>間切</t>
        </is>
      </c>
      <c r="D697" t="inlineStr"/>
      <c r="E697" t="inlineStr"/>
      <c r="F697" t="inlineStr">
        <is>
          <t>正保琉球国八山島絵図</t>
        </is>
      </c>
      <c r="G697" t="inlineStr">
        <is>
          <t>千九百九十六石余</t>
        </is>
      </c>
      <c r="H697" t="inlineStr"/>
      <c r="I697" t="inlineStr">
        <is>
          <t>〔39〕</t>
        </is>
      </c>
      <c r="J697" t="inlineStr"/>
      <c r="K697" t="inlineStr"/>
      <c r="L697" s="1">
        <f>HYPERLINK("https://www.hi.u-tokyo.ac.jp/collection/degitalgallary/ryukyu/item/30044", "https://www.hi.u-tokyo.ac.jp/collection/degitalgallary/ryukyu/item/30044")</f>
        <v/>
      </c>
    </row>
    <row r="698">
      <c r="A698" t="inlineStr">
        <is>
          <t>30045</t>
        </is>
      </c>
      <c r="B698" t="inlineStr">
        <is>
          <t>こみ間切之内三ツ離村</t>
        </is>
      </c>
      <c r="C698" t="inlineStr">
        <is>
          <t>村</t>
        </is>
      </c>
      <c r="D698" t="inlineStr"/>
      <c r="E698" t="inlineStr"/>
      <c r="F698" t="inlineStr">
        <is>
          <t>正保琉球国八山島絵図</t>
        </is>
      </c>
      <c r="G698" t="inlineStr">
        <is>
          <t>三ツ離村</t>
        </is>
      </c>
      <c r="H698" t="inlineStr"/>
      <c r="I698" t="inlineStr">
        <is>
          <t>〔40〕</t>
        </is>
      </c>
      <c r="J698" t="inlineStr"/>
      <c r="K698" t="inlineStr"/>
      <c r="L698" s="1">
        <f>HYPERLINK("https://www.hi.u-tokyo.ac.jp/collection/degitalgallary/ryukyu/item/30045", "https://www.hi.u-tokyo.ac.jp/collection/degitalgallary/ryukyu/item/30045")</f>
        <v/>
      </c>
    </row>
    <row r="699">
      <c r="A699" t="inlineStr">
        <is>
          <t>30046</t>
        </is>
      </c>
      <c r="B699" t="inlineStr">
        <is>
          <t>こみ間切之内崎枝村</t>
        </is>
      </c>
      <c r="C699" t="inlineStr">
        <is>
          <t>村</t>
        </is>
      </c>
      <c r="D699" t="inlineStr"/>
      <c r="E699" t="inlineStr"/>
      <c r="F699" t="inlineStr">
        <is>
          <t>正保琉球国八山島絵図</t>
        </is>
      </c>
      <c r="G699" t="inlineStr">
        <is>
          <t>崎枝村</t>
        </is>
      </c>
      <c r="H699" t="inlineStr"/>
      <c r="I699" t="inlineStr">
        <is>
          <t>〔41〕</t>
        </is>
      </c>
      <c r="J699" t="inlineStr"/>
      <c r="K699" t="inlineStr"/>
      <c r="L699" s="1">
        <f>HYPERLINK("https://www.hi.u-tokyo.ac.jp/collection/degitalgallary/ryukyu/item/30046", "https://www.hi.u-tokyo.ac.jp/collection/degitalgallary/ryukyu/item/30046")</f>
        <v/>
      </c>
    </row>
    <row r="700">
      <c r="A700" t="inlineStr">
        <is>
          <t>30047</t>
        </is>
      </c>
      <c r="B700" t="inlineStr">
        <is>
          <t>入表間切之内浦内村</t>
        </is>
      </c>
      <c r="C700" t="inlineStr">
        <is>
          <t>村</t>
        </is>
      </c>
      <c r="D700" t="inlineStr">
        <is>
          <t>24.4128858</t>
        </is>
      </c>
      <c r="E700" t="inlineStr">
        <is>
          <t>123.77152</t>
        </is>
      </c>
      <c r="F700" t="inlineStr">
        <is>
          <t>正保琉球国八山島絵図</t>
        </is>
      </c>
      <c r="G700" t="inlineStr">
        <is>
          <t>浦内村</t>
        </is>
      </c>
      <c r="H700" t="inlineStr"/>
      <c r="I700" t="inlineStr">
        <is>
          <t>〔42〕</t>
        </is>
      </c>
      <c r="J700" t="inlineStr"/>
      <c r="K700" t="inlineStr">
        <is>
          <t>沖縄県八重山郡竹富町西表</t>
        </is>
      </c>
      <c r="L700" s="1">
        <f>HYPERLINK("https://www.hi.u-tokyo.ac.jp/collection/degitalgallary/ryukyu/item/30047", "https://www.hi.u-tokyo.ac.jp/collection/degitalgallary/ryukyu/item/30047")</f>
        <v/>
      </c>
    </row>
    <row r="701">
      <c r="A701" t="inlineStr">
        <is>
          <t>30048</t>
        </is>
      </c>
      <c r="B701" t="inlineStr">
        <is>
          <t>入表間切之内たから村</t>
        </is>
      </c>
      <c r="C701" t="inlineStr">
        <is>
          <t>村</t>
        </is>
      </c>
      <c r="D701" t="inlineStr">
        <is>
          <t>24.4128858</t>
        </is>
      </c>
      <c r="E701" t="inlineStr">
        <is>
          <t>123.77152</t>
        </is>
      </c>
      <c r="F701" t="inlineStr">
        <is>
          <t>正保琉球国八山島絵図</t>
        </is>
      </c>
      <c r="G701" t="inlineStr">
        <is>
          <t>たから村</t>
        </is>
      </c>
      <c r="H701" t="inlineStr"/>
      <c r="I701" t="inlineStr">
        <is>
          <t>〔43〕</t>
        </is>
      </c>
      <c r="J701" t="inlineStr"/>
      <c r="K701" t="inlineStr">
        <is>
          <t>沖縄県八重山郡竹富町西表</t>
        </is>
      </c>
      <c r="L701" s="1">
        <f>HYPERLINK("https://www.hi.u-tokyo.ac.jp/collection/degitalgallary/ryukyu/item/30048", "https://www.hi.u-tokyo.ac.jp/collection/degitalgallary/ryukyu/item/30048")</f>
        <v/>
      </c>
    </row>
    <row r="702">
      <c r="A702" t="inlineStr">
        <is>
          <t>30049</t>
        </is>
      </c>
      <c r="B702" t="inlineStr">
        <is>
          <t>入表間切之内ほし立村</t>
        </is>
      </c>
      <c r="C702" t="inlineStr">
        <is>
          <t>村</t>
        </is>
      </c>
      <c r="D702" t="inlineStr">
        <is>
          <t>24.3955831</t>
        </is>
      </c>
      <c r="E702" t="inlineStr">
        <is>
          <t>123.75448</t>
        </is>
      </c>
      <c r="F702" t="inlineStr">
        <is>
          <t>正保琉球国八山島絵図</t>
        </is>
      </c>
      <c r="G702" t="inlineStr">
        <is>
          <t>ほし立村</t>
        </is>
      </c>
      <c r="H702" t="inlineStr"/>
      <c r="I702" t="inlineStr">
        <is>
          <t>〔44〕</t>
        </is>
      </c>
      <c r="J702" t="inlineStr"/>
      <c r="K702" t="inlineStr">
        <is>
          <t>沖縄県八重山郡竹富町西表</t>
        </is>
      </c>
      <c r="L702" s="1">
        <f>HYPERLINK("https://www.hi.u-tokyo.ac.jp/collection/degitalgallary/ryukyu/item/30049", "https://www.hi.u-tokyo.ac.jp/collection/degitalgallary/ryukyu/item/30049")</f>
        <v/>
      </c>
    </row>
    <row r="703">
      <c r="A703" t="inlineStr">
        <is>
          <t>30050</t>
        </is>
      </c>
      <c r="B703" t="inlineStr">
        <is>
          <t>入表間切</t>
        </is>
      </c>
      <c r="C703" t="inlineStr">
        <is>
          <t>間切</t>
        </is>
      </c>
      <c r="D703" t="inlineStr"/>
      <c r="E703" t="inlineStr"/>
      <c r="F703" t="inlineStr">
        <is>
          <t>正保琉球国八山島絵図</t>
        </is>
      </c>
      <c r="G703" t="inlineStr">
        <is>
          <t>千拾四石余</t>
        </is>
      </c>
      <c r="H703" t="inlineStr"/>
      <c r="I703" t="inlineStr">
        <is>
          <t>〔45〕</t>
        </is>
      </c>
      <c r="J703" t="inlineStr">
        <is>
          <t>30020480000183000</t>
        </is>
      </c>
      <c r="K703" t="inlineStr"/>
      <c r="L703" s="1">
        <f>HYPERLINK("https://www.hi.u-tokyo.ac.jp/collection/degitalgallary/ryukyu/item/30050", "https://www.hi.u-tokyo.ac.jp/collection/degitalgallary/ryukyu/item/30050")</f>
        <v/>
      </c>
    </row>
    <row r="704">
      <c r="A704" t="inlineStr">
        <is>
          <t>30051</t>
        </is>
      </c>
      <c r="B704" t="inlineStr">
        <is>
          <t>入表間切之内なるや村</t>
        </is>
      </c>
      <c r="C704" t="inlineStr">
        <is>
          <t>村</t>
        </is>
      </c>
      <c r="D704" t="inlineStr">
        <is>
          <t>24.3192399</t>
        </is>
      </c>
      <c r="E704" t="inlineStr">
        <is>
          <t>123.7503921</t>
        </is>
      </c>
      <c r="F704" t="inlineStr">
        <is>
          <t>正保琉球国八山島絵図</t>
        </is>
      </c>
      <c r="G704" t="inlineStr">
        <is>
          <t>なるや村</t>
        </is>
      </c>
      <c r="H704" t="inlineStr"/>
      <c r="I704" t="inlineStr">
        <is>
          <t>〔46〕</t>
        </is>
      </c>
      <c r="J704" t="inlineStr"/>
      <c r="K704" t="inlineStr">
        <is>
          <t>沖縄県八重山郡竹富町西表</t>
        </is>
      </c>
      <c r="L704" s="1">
        <f>HYPERLINK("https://www.hi.u-tokyo.ac.jp/collection/degitalgallary/ryukyu/item/30051", "https://www.hi.u-tokyo.ac.jp/collection/degitalgallary/ryukyu/item/30051")</f>
        <v/>
      </c>
    </row>
    <row r="705">
      <c r="A705" t="inlineStr">
        <is>
          <t>30052</t>
        </is>
      </c>
      <c r="B705" t="inlineStr">
        <is>
          <t>入表間切之内ふなうけ村</t>
        </is>
      </c>
      <c r="C705" t="inlineStr">
        <is>
          <t>村</t>
        </is>
      </c>
      <c r="D705" t="inlineStr"/>
      <c r="E705" t="inlineStr"/>
      <c r="F705" t="inlineStr">
        <is>
          <t>正保琉球国八山島絵図</t>
        </is>
      </c>
      <c r="G705" t="inlineStr">
        <is>
          <t>ふなうけ村</t>
        </is>
      </c>
      <c r="H705" t="inlineStr"/>
      <c r="I705" t="inlineStr">
        <is>
          <t>〔47〕</t>
        </is>
      </c>
      <c r="J705" t="inlineStr"/>
      <c r="K705" t="inlineStr"/>
      <c r="L705" s="1">
        <f>HYPERLINK("https://www.hi.u-tokyo.ac.jp/collection/degitalgallary/ryukyu/item/30052", "https://www.hi.u-tokyo.ac.jp/collection/degitalgallary/ryukyu/item/30052")</f>
        <v/>
      </c>
    </row>
    <row r="706">
      <c r="A706" t="inlineStr">
        <is>
          <t>30053</t>
        </is>
      </c>
      <c r="B706" t="inlineStr">
        <is>
          <t>入表間切之内かの川村</t>
        </is>
      </c>
      <c r="C706" t="inlineStr">
        <is>
          <t>村</t>
        </is>
      </c>
      <c r="D706" t="inlineStr"/>
      <c r="E706" t="inlineStr"/>
      <c r="F706" t="inlineStr">
        <is>
          <t>正保琉球国八山島絵図</t>
        </is>
      </c>
      <c r="G706" t="inlineStr">
        <is>
          <t>かの川村</t>
        </is>
      </c>
      <c r="H706" t="inlineStr"/>
      <c r="I706" t="inlineStr">
        <is>
          <t>〔48〕</t>
        </is>
      </c>
      <c r="J706" t="inlineStr"/>
      <c r="K706" t="inlineStr"/>
      <c r="L706" s="1">
        <f>HYPERLINK("https://www.hi.u-tokyo.ac.jp/collection/degitalgallary/ryukyu/item/30053", "https://www.hi.u-tokyo.ac.jp/collection/degitalgallary/ryukyu/item/30053")</f>
        <v/>
      </c>
    </row>
    <row r="707">
      <c r="A707" t="inlineStr">
        <is>
          <t>30054</t>
        </is>
      </c>
      <c r="B707" t="inlineStr">
        <is>
          <t>入表間切之内あミとり村</t>
        </is>
      </c>
      <c r="C707" t="inlineStr">
        <is>
          <t>村</t>
        </is>
      </c>
      <c r="D707" t="inlineStr"/>
      <c r="E707" t="inlineStr"/>
      <c r="F707" t="inlineStr">
        <is>
          <t>正保琉球国八山島絵図</t>
        </is>
      </c>
      <c r="G707" t="inlineStr">
        <is>
          <t>あミとり村</t>
        </is>
      </c>
      <c r="H707" t="inlineStr"/>
      <c r="I707" t="inlineStr">
        <is>
          <t>〔49〕</t>
        </is>
      </c>
      <c r="J707" t="inlineStr"/>
      <c r="K707" t="inlineStr"/>
      <c r="L707" s="1">
        <f>HYPERLINK("https://www.hi.u-tokyo.ac.jp/collection/degitalgallary/ryukyu/item/30054", "https://www.hi.u-tokyo.ac.jp/collection/degitalgallary/ryukyu/item/30054")</f>
        <v/>
      </c>
    </row>
    <row r="708">
      <c r="A708" t="inlineStr">
        <is>
          <t>30055</t>
        </is>
      </c>
      <c r="B708" t="inlineStr">
        <is>
          <t>与那国嶋</t>
        </is>
      </c>
      <c r="C708" t="inlineStr">
        <is>
          <t>島</t>
        </is>
      </c>
      <c r="D708" t="inlineStr">
        <is>
          <t>24.4560321</t>
        </is>
      </c>
      <c r="E708" t="inlineStr">
        <is>
          <t>122.9944636</t>
        </is>
      </c>
      <c r="F708" t="inlineStr">
        <is>
          <t>正保琉球国八山島絵図</t>
        </is>
      </c>
      <c r="G708" t="inlineStr">
        <is>
          <t>三百廿二石余</t>
        </is>
      </c>
      <c r="H708" t="inlineStr"/>
      <c r="I708" t="inlineStr">
        <is>
          <t>〔50〕</t>
        </is>
      </c>
      <c r="J708" t="inlineStr"/>
      <c r="K708" t="inlineStr">
        <is>
          <t>沖縄県八重山郡与那国町</t>
        </is>
      </c>
      <c r="L708" s="1">
        <f>HYPERLINK("https://www.hi.u-tokyo.ac.jp/collection/degitalgallary/ryukyu/item/30055", "https://www.hi.u-tokyo.ac.jp/collection/degitalgallary/ryukyu/item/30055")</f>
        <v/>
      </c>
    </row>
    <row r="709">
      <c r="A709" t="inlineStr">
        <is>
          <t>30056</t>
        </is>
      </c>
      <c r="B709" t="inlineStr">
        <is>
          <t>（合印）</t>
        </is>
      </c>
      <c r="C709" t="inlineStr">
        <is>
          <t>その他</t>
        </is>
      </c>
      <c r="D709" t="inlineStr"/>
      <c r="E709" t="inlineStr"/>
      <c r="F709" t="inlineStr">
        <is>
          <t>正保琉球国八山島絵図</t>
        </is>
      </c>
      <c r="G709" t="inlineStr"/>
      <c r="H709" t="inlineStr">
        <is>
          <t>◇◇</t>
        </is>
      </c>
      <c r="I709" t="inlineStr"/>
      <c r="J709" t="inlineStr"/>
      <c r="K709" t="inlineStr"/>
      <c r="L709" s="1">
        <f>HYPERLINK("https://www.hi.u-tokyo.ac.jp/collection/degitalgallary/ryukyu/item/30056", "https://www.hi.u-tokyo.ac.jp/collection/degitalgallary/ryukyu/item/30056")</f>
        <v/>
      </c>
    </row>
    <row r="710">
      <c r="A710" t="inlineStr">
        <is>
          <t>30057</t>
        </is>
      </c>
      <c r="B710" t="inlineStr">
        <is>
          <t>悪鬼納嶋之内赤嶋ヨリ宮古嶋はり水迄、海上七十五里未申ノ方ニ当ル</t>
        </is>
      </c>
      <c r="C710" t="inlineStr">
        <is>
          <t>航路</t>
        </is>
      </c>
      <c r="D710" t="inlineStr"/>
      <c r="E710" t="inlineStr"/>
      <c r="F710" t="inlineStr">
        <is>
          <t>正保琉球国八山島絵図</t>
        </is>
      </c>
      <c r="G710" t="inlineStr"/>
      <c r="H710" t="inlineStr"/>
      <c r="I710" t="inlineStr">
        <is>
          <t>1</t>
        </is>
      </c>
      <c r="J710" t="inlineStr"/>
      <c r="K710" t="inlineStr"/>
      <c r="L710" s="1">
        <f>HYPERLINK("https://www.hi.u-tokyo.ac.jp/collection/degitalgallary/ryukyu/item/30057", "https://www.hi.u-tokyo.ac.jp/collection/degitalgallary/ryukyu/item/30057")</f>
        <v/>
      </c>
    </row>
    <row r="711">
      <c r="A711" t="inlineStr">
        <is>
          <t>30058</t>
        </is>
      </c>
      <c r="B711" t="inlineStr">
        <is>
          <t>瀬崎</t>
        </is>
      </c>
      <c r="C711" t="inlineStr">
        <is>
          <t>崎</t>
        </is>
      </c>
      <c r="D711" t="inlineStr"/>
      <c r="E711" t="inlineStr"/>
      <c r="F711" t="inlineStr">
        <is>
          <t>正保琉球国八山島絵図</t>
        </is>
      </c>
      <c r="G711" t="inlineStr"/>
      <c r="H711" t="inlineStr"/>
      <c r="I711" t="inlineStr">
        <is>
          <t>2</t>
        </is>
      </c>
      <c r="J711" t="inlineStr"/>
      <c r="K711" t="inlineStr"/>
      <c r="L711" s="1">
        <f>HYPERLINK("https://www.hi.u-tokyo.ac.jp/collection/degitalgallary/ryukyu/item/30058", "https://www.hi.u-tokyo.ac.jp/collection/degitalgallary/ryukyu/item/30058")</f>
        <v/>
      </c>
    </row>
    <row r="712">
      <c r="A712" t="inlineStr">
        <is>
          <t>30059</t>
        </is>
      </c>
      <c r="B712" t="inlineStr">
        <is>
          <t>八重干瀬南北五里</t>
        </is>
      </c>
      <c r="C712" t="inlineStr">
        <is>
          <t>干瀬</t>
        </is>
      </c>
      <c r="D712" t="inlineStr"/>
      <c r="E712" t="inlineStr"/>
      <c r="F712" t="inlineStr">
        <is>
          <t>正保琉球国八山島絵図</t>
        </is>
      </c>
      <c r="G712" t="inlineStr">
        <is>
          <t>東西一里半</t>
        </is>
      </c>
      <c r="H712" t="inlineStr"/>
      <c r="I712" t="inlineStr">
        <is>
          <t>3</t>
        </is>
      </c>
      <c r="J712" t="inlineStr"/>
      <c r="K712" t="inlineStr"/>
      <c r="L712" s="1">
        <f>HYPERLINK("https://www.hi.u-tokyo.ac.jp/collection/degitalgallary/ryukyu/item/30059", "https://www.hi.u-tokyo.ac.jp/collection/degitalgallary/ryukyu/item/30059")</f>
        <v/>
      </c>
    </row>
    <row r="713">
      <c r="A713" t="inlineStr">
        <is>
          <t>30060</t>
        </is>
      </c>
      <c r="B713" t="inlineStr">
        <is>
          <t>筆のおかみ</t>
        </is>
      </c>
      <c r="C713" t="inlineStr">
        <is>
          <t>その他</t>
        </is>
      </c>
      <c r="D713" t="inlineStr"/>
      <c r="E713" t="inlineStr"/>
      <c r="F713" t="inlineStr">
        <is>
          <t>正保琉球国八山島絵図</t>
        </is>
      </c>
      <c r="G713" t="inlineStr"/>
      <c r="H713" t="inlineStr"/>
      <c r="I713" t="inlineStr">
        <is>
          <t>4</t>
        </is>
      </c>
      <c r="J713" t="inlineStr"/>
      <c r="K713" t="inlineStr"/>
      <c r="L713" s="1">
        <f>HYPERLINK("https://www.hi.u-tokyo.ac.jp/collection/degitalgallary/ryukyu/item/30060", "https://www.hi.u-tokyo.ac.jp/collection/degitalgallary/ryukyu/item/30060")</f>
        <v/>
      </c>
    </row>
    <row r="714">
      <c r="A714" t="inlineStr">
        <is>
          <t>30061</t>
        </is>
      </c>
      <c r="B714" t="inlineStr">
        <is>
          <t>悪鬼納嶋之内赤嶋ヨリ宮古島はり水迄、海上七十五里未申ノ方ニ当ル</t>
        </is>
      </c>
      <c r="C714" t="inlineStr">
        <is>
          <t>航路</t>
        </is>
      </c>
      <c r="D714" t="inlineStr"/>
      <c r="E714" t="inlineStr"/>
      <c r="F714" t="inlineStr">
        <is>
          <t>正保琉球国八山島絵図</t>
        </is>
      </c>
      <c r="G714" t="inlineStr"/>
      <c r="H714" t="inlineStr"/>
      <c r="I714" t="inlineStr">
        <is>
          <t>5</t>
        </is>
      </c>
      <c r="J714" t="inlineStr"/>
      <c r="K714" t="inlineStr"/>
      <c r="L714" s="1">
        <f>HYPERLINK("https://www.hi.u-tokyo.ac.jp/collection/degitalgallary/ryukyu/item/30061", "https://www.hi.u-tokyo.ac.jp/collection/degitalgallary/ryukyu/item/30061")</f>
        <v/>
      </c>
    </row>
    <row r="715">
      <c r="A715" t="inlineStr">
        <is>
          <t>30062</t>
        </is>
      </c>
      <c r="B715" t="inlineStr">
        <is>
          <t>いけま嶋</t>
        </is>
      </c>
      <c r="C715" t="inlineStr">
        <is>
          <t>島</t>
        </is>
      </c>
      <c r="D715" t="inlineStr">
        <is>
          <t>24.930518</t>
        </is>
      </c>
      <c r="E715" t="inlineStr">
        <is>
          <t>125.2450647</t>
        </is>
      </c>
      <c r="F715" t="inlineStr">
        <is>
          <t>正保琉球国八山島絵図</t>
        </is>
      </c>
      <c r="G715" t="inlineStr">
        <is>
          <t>宮古嶋之内
人居有り
嶋廻壱里八町</t>
        </is>
      </c>
      <c r="H715" t="inlineStr"/>
      <c r="I715" t="inlineStr">
        <is>
          <t>6</t>
        </is>
      </c>
      <c r="J715" t="inlineStr"/>
      <c r="K715" t="inlineStr">
        <is>
          <t>沖縄県宮古島市平良池間</t>
        </is>
      </c>
      <c r="L715" s="1">
        <f>HYPERLINK("https://www.hi.u-tokyo.ac.jp/collection/degitalgallary/ryukyu/item/30062", "https://www.hi.u-tokyo.ac.jp/collection/degitalgallary/ryukyu/item/30062")</f>
        <v/>
      </c>
    </row>
    <row r="716">
      <c r="A716" t="inlineStr">
        <is>
          <t>30063</t>
        </is>
      </c>
      <c r="B716" t="inlineStr">
        <is>
          <t>さゝれ崎</t>
        </is>
      </c>
      <c r="C716" t="inlineStr">
        <is>
          <t>崎</t>
        </is>
      </c>
      <c r="D716" t="inlineStr">
        <is>
          <t>24.9351455</t>
        </is>
      </c>
      <c r="E716" t="inlineStr">
        <is>
          <t>125.2315252</t>
        </is>
      </c>
      <c r="F716" t="inlineStr">
        <is>
          <t>正保琉球国八山島絵図</t>
        </is>
      </c>
      <c r="G716" t="inlineStr"/>
      <c r="H716" t="inlineStr"/>
      <c r="I716" t="inlineStr">
        <is>
          <t>7</t>
        </is>
      </c>
      <c r="J716" t="inlineStr"/>
      <c r="K716" t="inlineStr">
        <is>
          <t>沖縄県宮古島市平良前里</t>
        </is>
      </c>
      <c r="L716" s="1">
        <f>HYPERLINK("https://www.hi.u-tokyo.ac.jp/collection/degitalgallary/ryukyu/item/30063", "https://www.hi.u-tokyo.ac.jp/collection/degitalgallary/ryukyu/item/30063")</f>
        <v/>
      </c>
    </row>
    <row r="717">
      <c r="A717" t="inlineStr">
        <is>
          <t>30064</t>
        </is>
      </c>
      <c r="B717" t="inlineStr">
        <is>
          <t>おな崎</t>
        </is>
      </c>
      <c r="C717" t="inlineStr">
        <is>
          <t>崎</t>
        </is>
      </c>
      <c r="D717" t="inlineStr">
        <is>
          <t>24.9204855</t>
        </is>
      </c>
      <c r="E717" t="inlineStr">
        <is>
          <t>125.2483394</t>
        </is>
      </c>
      <c r="F717" t="inlineStr">
        <is>
          <t>正保琉球国八山島絵図</t>
        </is>
      </c>
      <c r="G717" t="inlineStr"/>
      <c r="H717" t="inlineStr"/>
      <c r="I717" t="inlineStr">
        <is>
          <t>8</t>
        </is>
      </c>
      <c r="J717" t="inlineStr"/>
      <c r="K717" t="inlineStr">
        <is>
          <t>沖縄県宮古島市平良池間</t>
        </is>
      </c>
      <c r="L717" s="1">
        <f>HYPERLINK("https://www.hi.u-tokyo.ac.jp/collection/degitalgallary/ryukyu/item/30064", "https://www.hi.u-tokyo.ac.jp/collection/degitalgallary/ryukyu/item/30064")</f>
        <v/>
      </c>
    </row>
    <row r="718">
      <c r="A718" t="inlineStr">
        <is>
          <t>30065</t>
        </is>
      </c>
      <c r="B718" t="inlineStr">
        <is>
          <t>まさか崎</t>
        </is>
      </c>
      <c r="C718" t="inlineStr">
        <is>
          <t>崎</t>
        </is>
      </c>
      <c r="D718" t="inlineStr">
        <is>
          <t>24.9253777</t>
        </is>
      </c>
      <c r="E718" t="inlineStr">
        <is>
          <t>125.2544853</t>
        </is>
      </c>
      <c r="F718" t="inlineStr">
        <is>
          <t>正保琉球国八山島絵図</t>
        </is>
      </c>
      <c r="G718" t="inlineStr"/>
      <c r="H718" t="inlineStr"/>
      <c r="I718" t="inlineStr">
        <is>
          <t>9</t>
        </is>
      </c>
      <c r="J718" t="inlineStr"/>
      <c r="K718" t="inlineStr">
        <is>
          <t>沖縄県宮古島市平良池間</t>
        </is>
      </c>
      <c r="L718" s="1">
        <f>HYPERLINK("https://www.hi.u-tokyo.ac.jp/collection/degitalgallary/ryukyu/item/30065", "https://www.hi.u-tokyo.ac.jp/collection/degitalgallary/ryukyu/item/30065")</f>
        <v/>
      </c>
    </row>
    <row r="719">
      <c r="A719" t="inlineStr">
        <is>
          <t>30066</t>
        </is>
      </c>
      <c r="B719" t="inlineStr">
        <is>
          <t>海上二十町</t>
        </is>
      </c>
      <c r="C719" t="inlineStr">
        <is>
          <t>航路</t>
        </is>
      </c>
      <c r="D719" t="inlineStr"/>
      <c r="E719" t="inlineStr"/>
      <c r="F719" t="inlineStr">
        <is>
          <t>正保琉球国八山島絵図</t>
        </is>
      </c>
      <c r="G719" t="inlineStr"/>
      <c r="H719" t="inlineStr"/>
      <c r="I719" t="inlineStr">
        <is>
          <t>10</t>
        </is>
      </c>
      <c r="J719" t="inlineStr"/>
      <c r="K719" t="inlineStr"/>
      <c r="L719" s="1">
        <f>HYPERLINK("https://www.hi.u-tokyo.ac.jp/collection/degitalgallary/ryukyu/item/30066", "https://www.hi.u-tokyo.ac.jp/collection/degitalgallary/ryukyu/item/30066")</f>
        <v/>
      </c>
    </row>
    <row r="720">
      <c r="A720" t="inlineStr">
        <is>
          <t>30067</t>
        </is>
      </c>
      <c r="B720" t="inlineStr">
        <is>
          <t>ひやんな崎</t>
        </is>
      </c>
      <c r="C720" t="inlineStr">
        <is>
          <t>崎</t>
        </is>
      </c>
      <c r="D720" t="inlineStr">
        <is>
          <t>24.9101258</t>
        </is>
      </c>
      <c r="E720" t="inlineStr">
        <is>
          <t>125.2560255</t>
        </is>
      </c>
      <c r="F720" t="inlineStr">
        <is>
          <t>正保琉球国八山島絵図</t>
        </is>
      </c>
      <c r="G720" t="inlineStr"/>
      <c r="H720" t="inlineStr"/>
      <c r="I720" t="inlineStr">
        <is>
          <t>11</t>
        </is>
      </c>
      <c r="J720" t="inlineStr"/>
      <c r="K720" t="inlineStr">
        <is>
          <t>沖縄県宮古島市平良狩俣</t>
        </is>
      </c>
      <c r="L720" s="1">
        <f>HYPERLINK("https://www.hi.u-tokyo.ac.jp/collection/degitalgallary/ryukyu/item/30067", "https://www.hi.u-tokyo.ac.jp/collection/degitalgallary/ryukyu/item/30067")</f>
        <v/>
      </c>
    </row>
    <row r="721">
      <c r="A721" t="inlineStr">
        <is>
          <t>30068</t>
        </is>
      </c>
      <c r="B721" t="inlineStr">
        <is>
          <t>せとの崎</t>
        </is>
      </c>
      <c r="C721" t="inlineStr">
        <is>
          <t>崎</t>
        </is>
      </c>
      <c r="D721" t="inlineStr">
        <is>
          <t>24.9136349</t>
        </is>
      </c>
      <c r="E721" t="inlineStr">
        <is>
          <t>125.2679978</t>
        </is>
      </c>
      <c r="F721" t="inlineStr">
        <is>
          <t>正保琉球国八山島絵図</t>
        </is>
      </c>
      <c r="G721" t="inlineStr"/>
      <c r="H721" t="inlineStr"/>
      <c r="I721" t="inlineStr">
        <is>
          <t>12</t>
        </is>
      </c>
      <c r="J721" t="inlineStr"/>
      <c r="K721" t="inlineStr">
        <is>
          <t>沖縄県宮古島市平良狩俣</t>
        </is>
      </c>
      <c r="L721" s="1">
        <f>HYPERLINK("https://www.hi.u-tokyo.ac.jp/collection/degitalgallary/ryukyu/item/30068", "https://www.hi.u-tokyo.ac.jp/collection/degitalgallary/ryukyu/item/30068")</f>
        <v/>
      </c>
    </row>
    <row r="722">
      <c r="A722" t="inlineStr">
        <is>
          <t>30069</t>
        </is>
      </c>
      <c r="B722" t="inlineStr">
        <is>
          <t>大おかみ嶋</t>
        </is>
      </c>
      <c r="C722" t="inlineStr">
        <is>
          <t>島</t>
        </is>
      </c>
      <c r="D722" t="inlineStr">
        <is>
          <t>24.9168512</t>
        </is>
      </c>
      <c r="E722" t="inlineStr">
        <is>
          <t>125.3075256</t>
        </is>
      </c>
      <c r="F722" t="inlineStr">
        <is>
          <t>正保琉球国八山島絵図</t>
        </is>
      </c>
      <c r="G722" t="inlineStr">
        <is>
          <t>かりまた間切之内</t>
        </is>
      </c>
      <c r="H722" t="inlineStr"/>
      <c r="I722" t="inlineStr">
        <is>
          <t>13</t>
        </is>
      </c>
      <c r="J722" t="inlineStr"/>
      <c r="K722" t="inlineStr">
        <is>
          <t>沖縄県宮古島市平良大神</t>
        </is>
      </c>
      <c r="L722" s="1">
        <f>HYPERLINK("https://www.hi.u-tokyo.ac.jp/collection/degitalgallary/ryukyu/item/30069", "https://www.hi.u-tokyo.ac.jp/collection/degitalgallary/ryukyu/item/30069")</f>
        <v/>
      </c>
    </row>
    <row r="723">
      <c r="A723" t="inlineStr">
        <is>
          <t>30070</t>
        </is>
      </c>
      <c r="B723" t="inlineStr">
        <is>
          <t>海上廿七町二十間</t>
        </is>
      </c>
      <c r="C723" t="inlineStr">
        <is>
          <t>航路</t>
        </is>
      </c>
      <c r="D723" t="inlineStr"/>
      <c r="E723" t="inlineStr"/>
      <c r="F723" t="inlineStr">
        <is>
          <t>正保琉球国八山島絵図</t>
        </is>
      </c>
      <c r="G723" t="inlineStr"/>
      <c r="H723" t="inlineStr"/>
      <c r="I723" t="inlineStr">
        <is>
          <t>14</t>
        </is>
      </c>
      <c r="J723" t="inlineStr"/>
      <c r="K723" t="inlineStr"/>
      <c r="L723" s="1">
        <f>HYPERLINK("https://www.hi.u-tokyo.ac.jp/collection/degitalgallary/ryukyu/item/30070", "https://www.hi.u-tokyo.ac.jp/collection/degitalgallary/ryukyu/item/30070")</f>
        <v/>
      </c>
    </row>
    <row r="724">
      <c r="A724" t="inlineStr">
        <is>
          <t>30071</t>
        </is>
      </c>
      <c r="B724" t="inlineStr">
        <is>
          <t>にしにや崎</t>
        </is>
      </c>
      <c r="C724" t="inlineStr">
        <is>
          <t>崎</t>
        </is>
      </c>
      <c r="D724" t="inlineStr"/>
      <c r="E724" t="inlineStr"/>
      <c r="F724" t="inlineStr">
        <is>
          <t>正保琉球国八山島絵図</t>
        </is>
      </c>
      <c r="G724" t="inlineStr"/>
      <c r="H724" t="inlineStr"/>
      <c r="I724" t="inlineStr">
        <is>
          <t>15</t>
        </is>
      </c>
      <c r="J724" t="inlineStr"/>
      <c r="K724" t="inlineStr"/>
      <c r="L724" s="1">
        <f>HYPERLINK("https://www.hi.u-tokyo.ac.jp/collection/degitalgallary/ryukyu/item/30071", "https://www.hi.u-tokyo.ac.jp/collection/degitalgallary/ryukyu/item/30071")</f>
        <v/>
      </c>
    </row>
    <row r="725">
      <c r="A725" t="inlineStr">
        <is>
          <t>30072</t>
        </is>
      </c>
      <c r="B725" t="inlineStr">
        <is>
          <t>かりまた間切より百名村迄、九里三町</t>
        </is>
      </c>
      <c r="C725" t="inlineStr">
        <is>
          <t>陸路</t>
        </is>
      </c>
      <c r="D725" t="inlineStr"/>
      <c r="E725" t="inlineStr"/>
      <c r="F725" t="inlineStr">
        <is>
          <t>正保琉球国八山島絵図</t>
        </is>
      </c>
      <c r="G725" t="inlineStr"/>
      <c r="H725" t="inlineStr"/>
      <c r="I725" t="inlineStr">
        <is>
          <t>16</t>
        </is>
      </c>
      <c r="J725" t="inlineStr"/>
      <c r="K725" t="inlineStr"/>
      <c r="L725" s="1">
        <f>HYPERLINK("https://www.hi.u-tokyo.ac.jp/collection/degitalgallary/ryukyu/item/30072", "https://www.hi.u-tokyo.ac.jp/collection/degitalgallary/ryukyu/item/30072")</f>
        <v/>
      </c>
    </row>
    <row r="726">
      <c r="A726" t="inlineStr">
        <is>
          <t>30073</t>
        </is>
      </c>
      <c r="B726" t="inlineStr">
        <is>
          <t>大崎</t>
        </is>
      </c>
      <c r="C726" t="inlineStr">
        <is>
          <t>崎</t>
        </is>
      </c>
      <c r="D726" t="inlineStr">
        <is>
          <t>24.843306</t>
        </is>
      </c>
      <c r="E726" t="inlineStr">
        <is>
          <t>125.286343</t>
        </is>
      </c>
      <c r="F726" t="inlineStr">
        <is>
          <t>正保琉球国八山島絵図</t>
        </is>
      </c>
      <c r="G726" t="inlineStr"/>
      <c r="H726" t="inlineStr"/>
      <c r="I726" t="inlineStr">
        <is>
          <t>17</t>
        </is>
      </c>
      <c r="J726" t="inlineStr"/>
      <c r="K726" t="inlineStr">
        <is>
          <t>沖縄県宮古島市平良荷川取</t>
        </is>
      </c>
      <c r="L726" s="1">
        <f>HYPERLINK("https://www.hi.u-tokyo.ac.jp/collection/degitalgallary/ryukyu/item/30073", "https://www.hi.u-tokyo.ac.jp/collection/degitalgallary/ryukyu/item/30073")</f>
        <v/>
      </c>
    </row>
    <row r="727">
      <c r="A727" t="inlineStr">
        <is>
          <t>30074</t>
        </is>
      </c>
      <c r="B727" t="inlineStr">
        <is>
          <t>ひらせのおかみ崎</t>
        </is>
      </c>
      <c r="C727" t="inlineStr">
        <is>
          <t>崎</t>
        </is>
      </c>
      <c r="D727" t="inlineStr">
        <is>
          <t>24.821444</t>
        </is>
      </c>
      <c r="E727" t="inlineStr">
        <is>
          <t>125.335079</t>
        </is>
      </c>
      <c r="F727" t="inlineStr">
        <is>
          <t>正保琉球国八山島絵図</t>
        </is>
      </c>
      <c r="G727" t="inlineStr"/>
      <c r="H727" t="inlineStr"/>
      <c r="I727" t="inlineStr">
        <is>
          <t>18</t>
        </is>
      </c>
      <c r="J727" t="inlineStr"/>
      <c r="K727" t="inlineStr">
        <is>
          <t>沖縄県宮古島市平良東仲宗根添</t>
        </is>
      </c>
      <c r="L727" s="1">
        <f>HYPERLINK("https://www.hi.u-tokyo.ac.jp/collection/degitalgallary/ryukyu/item/30074", "https://www.hi.u-tokyo.ac.jp/collection/degitalgallary/ryukyu/item/30074")</f>
        <v/>
      </c>
    </row>
    <row r="728">
      <c r="A728" t="inlineStr">
        <is>
          <t>30075</t>
        </is>
      </c>
      <c r="B728" t="inlineStr">
        <is>
          <t>よなはま崎</t>
        </is>
      </c>
      <c r="C728" t="inlineStr">
        <is>
          <t>崎</t>
        </is>
      </c>
      <c r="D728" t="inlineStr">
        <is>
          <t>24.792352</t>
        </is>
      </c>
      <c r="E728" t="inlineStr">
        <is>
          <t>125.369454</t>
        </is>
      </c>
      <c r="F728" t="inlineStr">
        <is>
          <t>正保琉球国八山島絵図</t>
        </is>
      </c>
      <c r="G728" t="inlineStr"/>
      <c r="H728" t="inlineStr"/>
      <c r="I728" t="inlineStr">
        <is>
          <t>19</t>
        </is>
      </c>
      <c r="J728" t="inlineStr"/>
      <c r="K728" t="inlineStr">
        <is>
          <t>沖縄県宮古島市城辺長間</t>
        </is>
      </c>
      <c r="L728" s="1">
        <f>HYPERLINK("https://www.hi.u-tokyo.ac.jp/collection/degitalgallary/ryukyu/item/30075", "https://www.hi.u-tokyo.ac.jp/collection/degitalgallary/ryukyu/item/30075")</f>
        <v/>
      </c>
    </row>
    <row r="729">
      <c r="A729" t="inlineStr">
        <is>
          <t>30076</t>
        </is>
      </c>
      <c r="B729" t="inlineStr">
        <is>
          <t>百名崎</t>
        </is>
      </c>
      <c r="C729" t="inlineStr">
        <is>
          <t>崎</t>
        </is>
      </c>
      <c r="D729" t="inlineStr">
        <is>
          <t>24.7194781</t>
        </is>
      </c>
      <c r="E729" t="inlineStr">
        <is>
          <t>125.4682982</t>
        </is>
      </c>
      <c r="F729" t="inlineStr">
        <is>
          <t>正保琉球国八山島絵図</t>
        </is>
      </c>
      <c r="G729" t="inlineStr"/>
      <c r="H729" t="inlineStr"/>
      <c r="I729" t="inlineStr">
        <is>
          <t>20</t>
        </is>
      </c>
      <c r="J729" t="inlineStr"/>
      <c r="K729" t="inlineStr">
        <is>
          <t>沖縄県宮古島市城辺保良</t>
        </is>
      </c>
      <c r="L729" s="1">
        <f>HYPERLINK("https://www.hi.u-tokyo.ac.jp/collection/degitalgallary/ryukyu/item/30076", "https://www.hi.u-tokyo.ac.jp/collection/degitalgallary/ryukyu/item/30076")</f>
        <v/>
      </c>
    </row>
    <row r="730">
      <c r="A730" t="inlineStr">
        <is>
          <t>30077</t>
        </is>
      </c>
      <c r="B730" t="inlineStr">
        <is>
          <t>そとり崎</t>
        </is>
      </c>
      <c r="C730" t="inlineStr">
        <is>
          <t>崎</t>
        </is>
      </c>
      <c r="D730" t="inlineStr"/>
      <c r="E730" t="inlineStr"/>
      <c r="F730" t="inlineStr">
        <is>
          <t>正保琉球国八山島絵図</t>
        </is>
      </c>
      <c r="G730" t="inlineStr"/>
      <c r="H730" t="inlineStr"/>
      <c r="I730" t="inlineStr">
        <is>
          <t>21</t>
        </is>
      </c>
      <c r="J730" t="inlineStr"/>
      <c r="K730" t="inlineStr"/>
      <c r="L730" s="1">
        <f>HYPERLINK("https://www.hi.u-tokyo.ac.jp/collection/degitalgallary/ryukyu/item/30077", "https://www.hi.u-tokyo.ac.jp/collection/degitalgallary/ryukyu/item/30077")</f>
        <v/>
      </c>
    </row>
    <row r="731">
      <c r="A731" t="inlineStr">
        <is>
          <t>30078</t>
        </is>
      </c>
      <c r="B731" t="inlineStr">
        <is>
          <t>かゝいり崎</t>
        </is>
      </c>
      <c r="C731" t="inlineStr">
        <is>
          <t>崎</t>
        </is>
      </c>
      <c r="D731" t="inlineStr">
        <is>
          <t>24.7125864</t>
        </is>
      </c>
      <c r="E731" t="inlineStr">
        <is>
          <t>125.3079831</t>
        </is>
      </c>
      <c r="F731" t="inlineStr">
        <is>
          <t>正保琉球国八山島絵図</t>
        </is>
      </c>
      <c r="G731" t="inlineStr"/>
      <c r="H731" t="inlineStr"/>
      <c r="I731" t="inlineStr">
        <is>
          <t>22</t>
        </is>
      </c>
      <c r="J731" t="inlineStr"/>
      <c r="K731" t="inlineStr">
        <is>
          <t>沖縄県宮古島市上野宮国</t>
        </is>
      </c>
      <c r="L731" s="1">
        <f>HYPERLINK("https://www.hi.u-tokyo.ac.jp/collection/degitalgallary/ryukyu/item/30078", "https://www.hi.u-tokyo.ac.jp/collection/degitalgallary/ryukyu/item/30078")</f>
        <v/>
      </c>
    </row>
    <row r="732">
      <c r="A732" t="inlineStr">
        <is>
          <t>30079</t>
        </is>
      </c>
      <c r="B732" t="inlineStr">
        <is>
          <t>宮古嶋
嶋廻り十一里
高壱万弐千四百五拾八石七斗九升弐合</t>
        </is>
      </c>
      <c r="C732" t="inlineStr">
        <is>
          <t>島</t>
        </is>
      </c>
      <c r="D732" t="inlineStr">
        <is>
          <t>24.7673666</t>
        </is>
      </c>
      <c r="E732" t="inlineStr">
        <is>
          <t>125.3246769</t>
        </is>
      </c>
      <c r="F732" t="inlineStr">
        <is>
          <t>正保琉球国八山島絵図</t>
        </is>
      </c>
      <c r="G732" t="inlineStr"/>
      <c r="H732" t="inlineStr"/>
      <c r="I732" t="inlineStr">
        <is>
          <t>23</t>
        </is>
      </c>
      <c r="J732" t="inlineStr"/>
      <c r="K732" t="inlineStr">
        <is>
          <t>沖縄県宮古島市上野野原</t>
        </is>
      </c>
      <c r="L732" s="1">
        <f>HYPERLINK("https://www.hi.u-tokyo.ac.jp/collection/degitalgallary/ryukyu/item/30079", "https://www.hi.u-tokyo.ac.jp/collection/degitalgallary/ryukyu/item/30079")</f>
        <v/>
      </c>
    </row>
    <row r="733">
      <c r="A733" t="inlineStr">
        <is>
          <t>30080</t>
        </is>
      </c>
      <c r="B733" t="inlineStr">
        <is>
          <t>権現</t>
        </is>
      </c>
      <c r="C733" t="inlineStr">
        <is>
          <t>寺社</t>
        </is>
      </c>
      <c r="D733" t="inlineStr">
        <is>
          <t>24.8090905</t>
        </is>
      </c>
      <c r="E733" t="inlineStr">
        <is>
          <t>125.2788598</t>
        </is>
      </c>
      <c r="F733" t="inlineStr">
        <is>
          <t>正保琉球国八山島絵図</t>
        </is>
      </c>
      <c r="G733" t="inlineStr"/>
      <c r="H733" t="inlineStr"/>
      <c r="I733" t="inlineStr">
        <is>
          <t>24</t>
        </is>
      </c>
      <c r="J733" t="inlineStr"/>
      <c r="K733" t="inlineStr">
        <is>
          <t>沖縄県宮古島市平良西仲宗根</t>
        </is>
      </c>
      <c r="L733" s="1">
        <f>HYPERLINK("https://www.hi.u-tokyo.ac.jp/collection/degitalgallary/ryukyu/item/30080", "https://www.hi.u-tokyo.ac.jp/collection/degitalgallary/ryukyu/item/30080")</f>
        <v/>
      </c>
    </row>
    <row r="734">
      <c r="A734" t="inlineStr">
        <is>
          <t>30081</t>
        </is>
      </c>
      <c r="B734" t="inlineStr">
        <is>
          <t>はり水浜　船かゝり不自由</t>
        </is>
      </c>
      <c r="C734" t="inlineStr">
        <is>
          <t>港湾</t>
        </is>
      </c>
      <c r="D734" t="inlineStr">
        <is>
          <t>24.7905733</t>
        </is>
      </c>
      <c r="E734" t="inlineStr">
        <is>
          <t>125.3054672</t>
        </is>
      </c>
      <c r="F734" t="inlineStr">
        <is>
          <t>正保琉球国八山島絵図</t>
        </is>
      </c>
      <c r="G734" t="inlineStr"/>
      <c r="H734" t="inlineStr"/>
      <c r="I734" t="inlineStr">
        <is>
          <t>25</t>
        </is>
      </c>
      <c r="J734" t="inlineStr"/>
      <c r="K734" t="inlineStr">
        <is>
          <t>沖縄県宮古島市平良西里</t>
        </is>
      </c>
      <c r="L734" s="1">
        <f>HYPERLINK("https://www.hi.u-tokyo.ac.jp/collection/degitalgallary/ryukyu/item/30081", "https://www.hi.u-tokyo.ac.jp/collection/degitalgallary/ryukyu/item/30081")</f>
        <v/>
      </c>
    </row>
    <row r="735">
      <c r="A735" t="inlineStr">
        <is>
          <t>30082</t>
        </is>
      </c>
      <c r="B735" t="inlineStr">
        <is>
          <t>はり水より永良部嶋迄、一里十町</t>
        </is>
      </c>
      <c r="C735" t="inlineStr">
        <is>
          <t>航路</t>
        </is>
      </c>
      <c r="D735" t="inlineStr"/>
      <c r="E735" t="inlineStr"/>
      <c r="F735" t="inlineStr">
        <is>
          <t>正保琉球国八山島絵図</t>
        </is>
      </c>
      <c r="G735" t="inlineStr"/>
      <c r="H735" t="inlineStr"/>
      <c r="I735" t="inlineStr">
        <is>
          <t>26</t>
        </is>
      </c>
      <c r="J735" t="inlineStr"/>
      <c r="K735" t="inlineStr"/>
      <c r="L735" s="1">
        <f>HYPERLINK("https://www.hi.u-tokyo.ac.jp/collection/degitalgallary/ryukyu/item/30082", "https://www.hi.u-tokyo.ac.jp/collection/degitalgallary/ryukyu/item/30082")</f>
        <v/>
      </c>
    </row>
    <row r="736">
      <c r="A736" t="inlineStr">
        <is>
          <t>30083</t>
        </is>
      </c>
      <c r="B736" t="inlineStr">
        <is>
          <t>ねくわのおかみ崎</t>
        </is>
      </c>
      <c r="C736" t="inlineStr">
        <is>
          <t>崎</t>
        </is>
      </c>
      <c r="D736" t="inlineStr">
        <is>
          <t>24.8013199</t>
        </is>
      </c>
      <c r="E736" t="inlineStr">
        <is>
          <t>125.2590258</t>
        </is>
      </c>
      <c r="F736" t="inlineStr">
        <is>
          <t>正保琉球国八山島絵図</t>
        </is>
      </c>
      <c r="G736" t="inlineStr"/>
      <c r="H736" t="inlineStr"/>
      <c r="I736" t="inlineStr">
        <is>
          <t>27</t>
        </is>
      </c>
      <c r="J736" t="inlineStr"/>
      <c r="K736" t="inlineStr">
        <is>
          <t>沖縄県宮古島市平良久貝</t>
        </is>
      </c>
      <c r="L736" s="1">
        <f>HYPERLINK("https://www.hi.u-tokyo.ac.jp/collection/degitalgallary/ryukyu/item/30083", "https://www.hi.u-tokyo.ac.jp/collection/degitalgallary/ryukyu/item/30083")</f>
        <v/>
      </c>
    </row>
    <row r="737">
      <c r="A737" t="inlineStr">
        <is>
          <t>30084</t>
        </is>
      </c>
      <c r="B737" t="inlineStr">
        <is>
          <t>船出入不成</t>
        </is>
      </c>
      <c r="C737" t="inlineStr">
        <is>
          <t>港湾</t>
        </is>
      </c>
      <c r="D737" t="inlineStr"/>
      <c r="E737" t="inlineStr"/>
      <c r="F737" t="inlineStr">
        <is>
          <t>正保琉球国八山島絵図</t>
        </is>
      </c>
      <c r="G737" t="inlineStr"/>
      <c r="H737" t="inlineStr"/>
      <c r="I737" t="inlineStr">
        <is>
          <t>28</t>
        </is>
      </c>
      <c r="J737" t="inlineStr"/>
      <c r="K737" t="inlineStr"/>
      <c r="L737" s="1">
        <f>HYPERLINK("https://www.hi.u-tokyo.ac.jp/collection/degitalgallary/ryukyu/item/30084", "https://www.hi.u-tokyo.ac.jp/collection/degitalgallary/ryukyu/item/30084")</f>
        <v/>
      </c>
    </row>
    <row r="738">
      <c r="A738" t="inlineStr">
        <is>
          <t>30085</t>
        </is>
      </c>
      <c r="B738" t="inlineStr">
        <is>
          <t>西浜崎</t>
        </is>
      </c>
      <c r="C738" t="inlineStr">
        <is>
          <t>崎</t>
        </is>
      </c>
      <c r="D738" t="inlineStr">
        <is>
          <t>24.767552</t>
        </is>
      </c>
      <c r="E738" t="inlineStr">
        <is>
          <t>125.261572</t>
        </is>
      </c>
      <c r="F738" t="inlineStr">
        <is>
          <t>正保琉球国八山島絵図</t>
        </is>
      </c>
      <c r="G738" t="inlineStr"/>
      <c r="H738" t="inlineStr"/>
      <c r="I738" t="inlineStr">
        <is>
          <t>29</t>
        </is>
      </c>
      <c r="J738" t="inlineStr"/>
      <c r="K738" t="inlineStr">
        <is>
          <t>沖縄県宮古島市下地与那覇</t>
        </is>
      </c>
      <c r="L738" s="1">
        <f>HYPERLINK("https://www.hi.u-tokyo.ac.jp/collection/degitalgallary/ryukyu/item/30085", "https://www.hi.u-tokyo.ac.jp/collection/degitalgallary/ryukyu/item/30085")</f>
        <v/>
      </c>
    </row>
    <row r="739">
      <c r="A739" t="inlineStr">
        <is>
          <t>30086</t>
        </is>
      </c>
      <c r="B739" t="inlineStr">
        <is>
          <t>此間十二町</t>
        </is>
      </c>
      <c r="C739" t="inlineStr">
        <is>
          <t>その他</t>
        </is>
      </c>
      <c r="D739" t="inlineStr"/>
      <c r="E739" t="inlineStr"/>
      <c r="F739" t="inlineStr">
        <is>
          <t>正保琉球国八山島絵図</t>
        </is>
      </c>
      <c r="G739" t="inlineStr"/>
      <c r="H739" t="inlineStr"/>
      <c r="I739" t="inlineStr">
        <is>
          <t>30</t>
        </is>
      </c>
      <c r="J739" t="inlineStr"/>
      <c r="K739" t="inlineStr"/>
      <c r="L739" s="1">
        <f>HYPERLINK("https://www.hi.u-tokyo.ac.jp/collection/degitalgallary/ryukyu/item/30086", "https://www.hi.u-tokyo.ac.jp/collection/degitalgallary/ryukyu/item/30086")</f>
        <v/>
      </c>
    </row>
    <row r="740">
      <c r="A740" t="inlineStr">
        <is>
          <t>30087</t>
        </is>
      </c>
      <c r="B740" t="inlineStr">
        <is>
          <t>くれま嶋</t>
        </is>
      </c>
      <c r="C740" t="inlineStr">
        <is>
          <t>島</t>
        </is>
      </c>
      <c r="D740" t="inlineStr">
        <is>
          <t>24.7229025</t>
        </is>
      </c>
      <c r="E740" t="inlineStr">
        <is>
          <t>125.2505577</t>
        </is>
      </c>
      <c r="F740" t="inlineStr">
        <is>
          <t>正保琉球国八山島絵図</t>
        </is>
      </c>
      <c r="G740" t="inlineStr">
        <is>
          <t>下地間切之内
嶋廻壱里
人居有</t>
        </is>
      </c>
      <c r="H740" t="inlineStr"/>
      <c r="I740" t="inlineStr">
        <is>
          <t>31</t>
        </is>
      </c>
      <c r="J740" t="inlineStr"/>
      <c r="K740" t="inlineStr">
        <is>
          <t>沖縄県宮古島市下地来間</t>
        </is>
      </c>
      <c r="L740" s="1">
        <f>HYPERLINK("https://www.hi.u-tokyo.ac.jp/collection/degitalgallary/ryukyu/item/30087", "https://www.hi.u-tokyo.ac.jp/collection/degitalgallary/ryukyu/item/30087")</f>
        <v/>
      </c>
    </row>
    <row r="741">
      <c r="A741" t="inlineStr">
        <is>
          <t>30088</t>
        </is>
      </c>
      <c r="B741" t="inlineStr">
        <is>
          <t>歩渡り</t>
        </is>
      </c>
      <c r="C741" t="inlineStr">
        <is>
          <t>渡河点</t>
        </is>
      </c>
      <c r="D741" t="inlineStr"/>
      <c r="E741" t="inlineStr"/>
      <c r="F741" t="inlineStr">
        <is>
          <t>正保琉球国八山島絵図</t>
        </is>
      </c>
      <c r="G741" t="inlineStr"/>
      <c r="H741" t="inlineStr"/>
      <c r="I741" t="inlineStr">
        <is>
          <t>32</t>
        </is>
      </c>
      <c r="J741" t="inlineStr"/>
      <c r="K741" t="inlineStr"/>
      <c r="L741" s="1">
        <f>HYPERLINK("https://www.hi.u-tokyo.ac.jp/collection/degitalgallary/ryukyu/item/30088", "https://www.hi.u-tokyo.ac.jp/collection/degitalgallary/ryukyu/item/30088")</f>
        <v/>
      </c>
    </row>
    <row r="742">
      <c r="A742" t="inlineStr">
        <is>
          <t>30089</t>
        </is>
      </c>
      <c r="B742" t="inlineStr">
        <is>
          <t>永良部嶋</t>
        </is>
      </c>
      <c r="C742" t="inlineStr">
        <is>
          <t>島</t>
        </is>
      </c>
      <c r="D742" t="inlineStr">
        <is>
          <t>24.8367236</t>
        </is>
      </c>
      <c r="E742" t="inlineStr">
        <is>
          <t>125.1818695</t>
        </is>
      </c>
      <c r="F742" t="inlineStr">
        <is>
          <t>正保琉球国八山島絵図</t>
        </is>
      </c>
      <c r="G742" t="inlineStr">
        <is>
          <t>宮古嶋之内
嶋廻り四里廿町</t>
        </is>
      </c>
      <c r="H742" t="inlineStr"/>
      <c r="I742" t="inlineStr">
        <is>
          <t>33</t>
        </is>
      </c>
      <c r="J742" t="inlineStr"/>
      <c r="K742" t="inlineStr">
        <is>
          <t>沖縄県宮古島市伊良部長浜</t>
        </is>
      </c>
      <c r="L742" s="1">
        <f>HYPERLINK("https://www.hi.u-tokyo.ac.jp/collection/degitalgallary/ryukyu/item/30089", "https://www.hi.u-tokyo.ac.jp/collection/degitalgallary/ryukyu/item/30089")</f>
        <v/>
      </c>
    </row>
    <row r="743">
      <c r="A743" t="inlineStr">
        <is>
          <t>30090</t>
        </is>
      </c>
      <c r="B743" t="inlineStr">
        <is>
          <t>白鳥崎</t>
        </is>
      </c>
      <c r="C743" t="inlineStr">
        <is>
          <t>崎</t>
        </is>
      </c>
      <c r="D743" t="inlineStr">
        <is>
          <t>24.8605159</t>
        </is>
      </c>
      <c r="E743" t="inlineStr">
        <is>
          <t>125.161829</t>
        </is>
      </c>
      <c r="F743" t="inlineStr">
        <is>
          <t>正保琉球国八山島絵図</t>
        </is>
      </c>
      <c r="G743" t="inlineStr"/>
      <c r="H743" t="inlineStr"/>
      <c r="I743" t="inlineStr">
        <is>
          <t>34</t>
        </is>
      </c>
      <c r="J743" t="inlineStr"/>
      <c r="K743" t="inlineStr">
        <is>
          <t>沖縄県宮古島市伊良部佐和田</t>
        </is>
      </c>
      <c r="L743" s="1">
        <f>HYPERLINK("https://www.hi.u-tokyo.ac.jp/collection/degitalgallary/ryukyu/item/30090", "https://www.hi.u-tokyo.ac.jp/collection/degitalgallary/ryukyu/item/30090")</f>
        <v/>
      </c>
    </row>
    <row r="744">
      <c r="A744" t="inlineStr">
        <is>
          <t>30091</t>
        </is>
      </c>
      <c r="B744" t="inlineStr">
        <is>
          <t>たかめの崎</t>
        </is>
      </c>
      <c r="C744" t="inlineStr">
        <is>
          <t>崎</t>
        </is>
      </c>
      <c r="D744" t="inlineStr">
        <is>
          <t>24.8142935</t>
        </is>
      </c>
      <c r="E744" t="inlineStr">
        <is>
          <t>125.2212739</t>
        </is>
      </c>
      <c r="F744" t="inlineStr">
        <is>
          <t>正保琉球国八山島絵図</t>
        </is>
      </c>
      <c r="G744" t="inlineStr"/>
      <c r="H744" t="inlineStr"/>
      <c r="I744" t="inlineStr">
        <is>
          <t>35</t>
        </is>
      </c>
      <c r="J744" t="inlineStr"/>
      <c r="K744" t="inlineStr">
        <is>
          <t>沖縄県宮古島市伊良部池間添</t>
        </is>
      </c>
      <c r="L744" s="1">
        <f>HYPERLINK("https://www.hi.u-tokyo.ac.jp/collection/degitalgallary/ryukyu/item/30091", "https://www.hi.u-tokyo.ac.jp/collection/degitalgallary/ryukyu/item/30091")</f>
        <v/>
      </c>
    </row>
    <row r="745">
      <c r="A745" t="inlineStr">
        <is>
          <t>30092</t>
        </is>
      </c>
      <c r="B745" t="inlineStr">
        <is>
          <t>船掛り不成</t>
        </is>
      </c>
      <c r="C745" t="inlineStr">
        <is>
          <t>港湾</t>
        </is>
      </c>
      <c r="D745" t="inlineStr"/>
      <c r="E745" t="inlineStr"/>
      <c r="F745" t="inlineStr">
        <is>
          <t>正保琉球国八山島絵図</t>
        </is>
      </c>
      <c r="G745" t="inlineStr"/>
      <c r="H745" t="inlineStr"/>
      <c r="I745" t="inlineStr">
        <is>
          <t>36</t>
        </is>
      </c>
      <c r="J745" t="inlineStr"/>
      <c r="K745" t="inlineStr"/>
      <c r="L745" s="1">
        <f>HYPERLINK("https://www.hi.u-tokyo.ac.jp/collection/degitalgallary/ryukyu/item/30092", "https://www.hi.u-tokyo.ac.jp/collection/degitalgallary/ryukyu/item/30092")</f>
        <v/>
      </c>
    </row>
    <row r="746">
      <c r="A746" t="inlineStr">
        <is>
          <t>30093</t>
        </is>
      </c>
      <c r="B746" t="inlineStr">
        <is>
          <t>ひき崎</t>
        </is>
      </c>
      <c r="C746" t="inlineStr">
        <is>
          <t>崎</t>
        </is>
      </c>
      <c r="D746" t="inlineStr">
        <is>
          <t>24.8053706</t>
        </is>
      </c>
      <c r="E746" t="inlineStr">
        <is>
          <t>125.1721227</t>
        </is>
      </c>
      <c r="F746" t="inlineStr">
        <is>
          <t>正保琉球国八山島絵図</t>
        </is>
      </c>
      <c r="G746" t="inlineStr"/>
      <c r="H746" t="inlineStr"/>
      <c r="I746" t="inlineStr">
        <is>
          <t>37</t>
        </is>
      </c>
      <c r="J746" t="inlineStr"/>
      <c r="K746" t="inlineStr">
        <is>
          <t>沖縄県宮古島市伊良部伊良部</t>
        </is>
      </c>
      <c r="L746" s="1">
        <f>HYPERLINK("https://www.hi.u-tokyo.ac.jp/collection/degitalgallary/ryukyu/item/30093", "https://www.hi.u-tokyo.ac.jp/collection/degitalgallary/ryukyu/item/30093")</f>
        <v/>
      </c>
    </row>
    <row r="747">
      <c r="A747" t="inlineStr">
        <is>
          <t>30094</t>
        </is>
      </c>
      <c r="B747" t="inlineStr">
        <is>
          <t>下地嶋</t>
        </is>
      </c>
      <c r="C747" t="inlineStr">
        <is>
          <t>島</t>
        </is>
      </c>
      <c r="D747" t="inlineStr">
        <is>
          <t>24.8183207</t>
        </is>
      </c>
      <c r="E747" t="inlineStr">
        <is>
          <t>125.1543783</t>
        </is>
      </c>
      <c r="F747" t="inlineStr">
        <is>
          <t>正保琉球国八山島絵図</t>
        </is>
      </c>
      <c r="G747" t="inlineStr">
        <is>
          <t>永良部嶋之内
人居無</t>
        </is>
      </c>
      <c r="H747" t="inlineStr"/>
      <c r="I747" t="inlineStr">
        <is>
          <t>38</t>
        </is>
      </c>
      <c r="J747" t="inlineStr"/>
      <c r="K747" t="inlineStr">
        <is>
          <t>沖縄県宮古島市伊良部仲地</t>
        </is>
      </c>
      <c r="L747" s="1">
        <f>HYPERLINK("https://www.hi.u-tokyo.ac.jp/collection/degitalgallary/ryukyu/item/30094", "https://www.hi.u-tokyo.ac.jp/collection/degitalgallary/ryukyu/item/30094")</f>
        <v/>
      </c>
    </row>
    <row r="748">
      <c r="A748" t="inlineStr">
        <is>
          <t>30095</t>
        </is>
      </c>
      <c r="B748" t="inlineStr">
        <is>
          <t>さくり崎</t>
        </is>
      </c>
      <c r="C748" t="inlineStr">
        <is>
          <t>崎</t>
        </is>
      </c>
      <c r="D748" t="inlineStr">
        <is>
          <t>24.8358942</t>
        </is>
      </c>
      <c r="E748" t="inlineStr">
        <is>
          <t>125.1372135</t>
        </is>
      </c>
      <c r="F748" t="inlineStr">
        <is>
          <t>正保琉球国八山島絵図</t>
        </is>
      </c>
      <c r="G748" t="inlineStr"/>
      <c r="H748" t="inlineStr"/>
      <c r="I748" t="inlineStr">
        <is>
          <t>39</t>
        </is>
      </c>
      <c r="J748" t="inlineStr"/>
      <c r="K748" t="inlineStr">
        <is>
          <t>沖縄県宮古島市伊良部佐和田</t>
        </is>
      </c>
      <c r="L748" s="1">
        <f>HYPERLINK("https://www.hi.u-tokyo.ac.jp/collection/degitalgallary/ryukyu/item/30095", "https://www.hi.u-tokyo.ac.jp/collection/degitalgallary/ryukyu/item/30095")</f>
        <v/>
      </c>
    </row>
    <row r="749">
      <c r="A749" t="inlineStr">
        <is>
          <t>30096</t>
        </is>
      </c>
      <c r="B749" t="inlineStr">
        <is>
          <t>宮古嶋はり水よりみつな嶋迄、海上三十五里酉ノ方ニ当ル</t>
        </is>
      </c>
      <c r="C749" t="inlineStr">
        <is>
          <t>航路</t>
        </is>
      </c>
      <c r="D749" t="inlineStr"/>
      <c r="E749" t="inlineStr"/>
      <c r="F749" t="inlineStr">
        <is>
          <t>正保琉球国八山島絵図</t>
        </is>
      </c>
      <c r="G749" t="inlineStr"/>
      <c r="H749" t="inlineStr"/>
      <c r="I749" t="inlineStr">
        <is>
          <t>40</t>
        </is>
      </c>
      <c r="J749" t="inlineStr"/>
      <c r="K749" t="inlineStr"/>
      <c r="L749" s="1">
        <f>HYPERLINK("https://www.hi.u-tokyo.ac.jp/collection/degitalgallary/ryukyu/item/30096", "https://www.hi.u-tokyo.ac.jp/collection/degitalgallary/ryukyu/item/30096")</f>
        <v/>
      </c>
    </row>
    <row r="750">
      <c r="A750" t="inlineStr">
        <is>
          <t>30097</t>
        </is>
      </c>
      <c r="B750" t="inlineStr">
        <is>
          <t>はり水より下地嶋迄、海上二里</t>
        </is>
      </c>
      <c r="C750" t="inlineStr">
        <is>
          <t>航路</t>
        </is>
      </c>
      <c r="D750" t="inlineStr"/>
      <c r="E750" t="inlineStr"/>
      <c r="F750" t="inlineStr">
        <is>
          <t>正保琉球国八山島絵図</t>
        </is>
      </c>
      <c r="G750" t="inlineStr"/>
      <c r="H750" t="inlineStr"/>
      <c r="I750" t="inlineStr">
        <is>
          <t>41</t>
        </is>
      </c>
      <c r="J750" t="inlineStr"/>
      <c r="K750" t="inlineStr"/>
      <c r="L750" s="1">
        <f>HYPERLINK("https://www.hi.u-tokyo.ac.jp/collection/degitalgallary/ryukyu/item/30097", "https://www.hi.u-tokyo.ac.jp/collection/degitalgallary/ryukyu/item/30097")</f>
        <v/>
      </c>
    </row>
    <row r="751">
      <c r="A751" t="inlineStr">
        <is>
          <t>30098</t>
        </is>
      </c>
      <c r="B751" t="inlineStr">
        <is>
          <t>宮古嶋はり水よりたらま嶋迄、海上三十五里申酉ノ間ニ当ル、此渡昼夜共ニ潮東へ落ル</t>
        </is>
      </c>
      <c r="C751" t="inlineStr">
        <is>
          <t>航路</t>
        </is>
      </c>
      <c r="D751" t="inlineStr"/>
      <c r="E751" t="inlineStr"/>
      <c r="F751" t="inlineStr">
        <is>
          <t>正保琉球国八山島絵図</t>
        </is>
      </c>
      <c r="G751" t="inlineStr"/>
      <c r="H751" t="inlineStr"/>
      <c r="I751" t="inlineStr">
        <is>
          <t>42</t>
        </is>
      </c>
      <c r="J751" t="inlineStr"/>
      <c r="K751" t="inlineStr"/>
      <c r="L751" s="1">
        <f>HYPERLINK("https://www.hi.u-tokyo.ac.jp/collection/degitalgallary/ryukyu/item/30098", "https://www.hi.u-tokyo.ac.jp/collection/degitalgallary/ryukyu/item/30098")</f>
        <v/>
      </c>
    </row>
    <row r="752">
      <c r="A752" t="inlineStr">
        <is>
          <t>30099</t>
        </is>
      </c>
      <c r="B752" t="inlineStr">
        <is>
          <t>たらま嶋</t>
        </is>
      </c>
      <c r="C752" t="inlineStr">
        <is>
          <t>島</t>
        </is>
      </c>
      <c r="D752" t="inlineStr">
        <is>
          <t>24.6555311</t>
        </is>
      </c>
      <c r="E752" t="inlineStr">
        <is>
          <t>124.6967094</t>
        </is>
      </c>
      <c r="F752" t="inlineStr">
        <is>
          <t>正保琉球国八山島絵図</t>
        </is>
      </c>
      <c r="G752" t="inlineStr">
        <is>
          <t>宮古嶋之内
嶋廻り四里</t>
        </is>
      </c>
      <c r="H752" t="inlineStr"/>
      <c r="I752" t="inlineStr">
        <is>
          <t>43</t>
        </is>
      </c>
      <c r="J752" t="inlineStr"/>
      <c r="K752" t="inlineStr">
        <is>
          <t>沖縄県宮古郡多良間村仲筋</t>
        </is>
      </c>
      <c r="L752" s="1">
        <f>HYPERLINK("https://www.hi.u-tokyo.ac.jp/collection/degitalgallary/ryukyu/item/30099", "https://www.hi.u-tokyo.ac.jp/collection/degitalgallary/ryukyu/item/30099")</f>
        <v/>
      </c>
    </row>
    <row r="753">
      <c r="A753" t="inlineStr">
        <is>
          <t>30100</t>
        </is>
      </c>
      <c r="B753" t="inlineStr">
        <is>
          <t>船繋り不成</t>
        </is>
      </c>
      <c r="C753" t="inlineStr">
        <is>
          <t>港湾</t>
        </is>
      </c>
      <c r="D753" t="inlineStr"/>
      <c r="E753" t="inlineStr"/>
      <c r="F753" t="inlineStr">
        <is>
          <t>正保琉球国八山島絵図</t>
        </is>
      </c>
      <c r="G753" t="inlineStr"/>
      <c r="H753" t="inlineStr"/>
      <c r="I753" t="inlineStr">
        <is>
          <t>44</t>
        </is>
      </c>
      <c r="J753" t="inlineStr"/>
      <c r="K753" t="inlineStr"/>
      <c r="L753" s="1">
        <f>HYPERLINK("https://www.hi.u-tokyo.ac.jp/collection/degitalgallary/ryukyu/item/30100", "https://www.hi.u-tokyo.ac.jp/collection/degitalgallary/ryukyu/item/30100")</f>
        <v/>
      </c>
    </row>
    <row r="754">
      <c r="A754" t="inlineStr">
        <is>
          <t>30101</t>
        </is>
      </c>
      <c r="B754" t="inlineStr">
        <is>
          <t>はなれ崎</t>
        </is>
      </c>
      <c r="C754" t="inlineStr">
        <is>
          <t>崎</t>
        </is>
      </c>
      <c r="D754" t="inlineStr">
        <is>
          <t>24.6682967</t>
        </is>
      </c>
      <c r="E754" t="inlineStr">
        <is>
          <t>124.7239579</t>
        </is>
      </c>
      <c r="F754" t="inlineStr">
        <is>
          <t>正保琉球国八山島絵図</t>
        </is>
      </c>
      <c r="G754" t="inlineStr"/>
      <c r="H754" t="inlineStr"/>
      <c r="I754" t="inlineStr">
        <is>
          <t>45</t>
        </is>
      </c>
      <c r="J754" t="inlineStr"/>
      <c r="K754" t="inlineStr">
        <is>
          <t>沖縄県宮古郡多良間村塩川</t>
        </is>
      </c>
      <c r="L754" s="1">
        <f>HYPERLINK("https://www.hi.u-tokyo.ac.jp/collection/degitalgallary/ryukyu/item/30101", "https://www.hi.u-tokyo.ac.jp/collection/degitalgallary/ryukyu/item/30101")</f>
        <v/>
      </c>
    </row>
    <row r="755">
      <c r="A755" t="inlineStr">
        <is>
          <t>30102</t>
        </is>
      </c>
      <c r="B755" t="inlineStr">
        <is>
          <t>みつはなれ崎</t>
        </is>
      </c>
      <c r="C755" t="inlineStr">
        <is>
          <t>崎</t>
        </is>
      </c>
      <c r="D755" t="inlineStr">
        <is>
          <t>24.6429306</t>
        </is>
      </c>
      <c r="E755" t="inlineStr">
        <is>
          <t>124.7157604</t>
        </is>
      </c>
      <c r="F755" t="inlineStr">
        <is>
          <t>正保琉球国八山島絵図</t>
        </is>
      </c>
      <c r="G755" t="inlineStr"/>
      <c r="H755" t="inlineStr"/>
      <c r="I755" t="inlineStr">
        <is>
          <t>46</t>
        </is>
      </c>
      <c r="J755" t="inlineStr"/>
      <c r="K755" t="inlineStr">
        <is>
          <t>沖縄県宮古郡多良間村塩川</t>
        </is>
      </c>
      <c r="L755" s="1">
        <f>HYPERLINK("https://www.hi.u-tokyo.ac.jp/collection/degitalgallary/ryukyu/item/30102", "https://www.hi.u-tokyo.ac.jp/collection/degitalgallary/ryukyu/item/30102")</f>
        <v/>
      </c>
    </row>
    <row r="756">
      <c r="A756" t="inlineStr">
        <is>
          <t>30103</t>
        </is>
      </c>
      <c r="B756" t="inlineStr">
        <is>
          <t>大たう崎</t>
        </is>
      </c>
      <c r="C756" t="inlineStr">
        <is>
          <t>崎</t>
        </is>
      </c>
      <c r="D756" t="inlineStr">
        <is>
          <t>24.6408584</t>
        </is>
      </c>
      <c r="E756" t="inlineStr">
        <is>
          <t>124.6811896</t>
        </is>
      </c>
      <c r="F756" t="inlineStr">
        <is>
          <t>正保琉球国八山島絵図</t>
        </is>
      </c>
      <c r="G756" t="inlineStr"/>
      <c r="H756" t="inlineStr"/>
      <c r="I756" t="inlineStr">
        <is>
          <t>47</t>
        </is>
      </c>
      <c r="J756" t="inlineStr"/>
      <c r="K756" t="inlineStr">
        <is>
          <t>沖縄県宮古郡多良間村仲筋</t>
        </is>
      </c>
      <c r="L756" s="1">
        <f>HYPERLINK("https://www.hi.u-tokyo.ac.jp/collection/degitalgallary/ryukyu/item/30103", "https://www.hi.u-tokyo.ac.jp/collection/degitalgallary/ryukyu/item/30103")</f>
        <v/>
      </c>
    </row>
    <row r="757">
      <c r="A757" t="inlineStr">
        <is>
          <t>30104</t>
        </is>
      </c>
      <c r="B757" t="inlineStr">
        <is>
          <t>はたけ地の崎</t>
        </is>
      </c>
      <c r="C757" t="inlineStr">
        <is>
          <t>崎</t>
        </is>
      </c>
      <c r="D757" t="inlineStr">
        <is>
          <t>24.6636325</t>
        </is>
      </c>
      <c r="E757" t="inlineStr">
        <is>
          <t>124.6726456</t>
        </is>
      </c>
      <c r="F757" t="inlineStr">
        <is>
          <t>正保琉球国八山島絵図</t>
        </is>
      </c>
      <c r="G757" t="inlineStr"/>
      <c r="H757" t="inlineStr"/>
      <c r="I757" t="inlineStr">
        <is>
          <t>48</t>
        </is>
      </c>
      <c r="J757" t="inlineStr"/>
      <c r="K757" t="inlineStr">
        <is>
          <t>沖縄県宮古郡多良間村仲筋</t>
        </is>
      </c>
      <c r="L757" s="1">
        <f>HYPERLINK("https://www.hi.u-tokyo.ac.jp/collection/degitalgallary/ryukyu/item/30104", "https://www.hi.u-tokyo.ac.jp/collection/degitalgallary/ryukyu/item/30104")</f>
        <v/>
      </c>
    </row>
    <row r="758">
      <c r="A758" t="inlineStr">
        <is>
          <t>30105</t>
        </is>
      </c>
      <c r="B758" t="inlineStr">
        <is>
          <t>大なか崎</t>
        </is>
      </c>
      <c r="C758" t="inlineStr">
        <is>
          <t>崎</t>
        </is>
      </c>
      <c r="D758" t="inlineStr">
        <is>
          <t>24.6752368</t>
        </is>
      </c>
      <c r="E758" t="inlineStr">
        <is>
          <t>124.6911658</t>
        </is>
      </c>
      <c r="F758" t="inlineStr">
        <is>
          <t>正保琉球国八山島絵図</t>
        </is>
      </c>
      <c r="G758" t="inlineStr"/>
      <c r="H758" t="inlineStr"/>
      <c r="I758" t="inlineStr">
        <is>
          <t>49</t>
        </is>
      </c>
      <c r="J758" t="inlineStr"/>
      <c r="K758" t="inlineStr">
        <is>
          <t>沖縄県宮古郡多良間村仲筋</t>
        </is>
      </c>
      <c r="L758" s="1">
        <f>HYPERLINK("https://www.hi.u-tokyo.ac.jp/collection/degitalgallary/ryukyu/item/30105", "https://www.hi.u-tokyo.ac.jp/collection/degitalgallary/ryukyu/item/30105")</f>
        <v/>
      </c>
    </row>
    <row r="759">
      <c r="A759" t="inlineStr">
        <is>
          <t>30106</t>
        </is>
      </c>
      <c r="B759" t="inlineStr">
        <is>
          <t>みつな嶋</t>
        </is>
      </c>
      <c r="C759" t="inlineStr">
        <is>
          <t>島</t>
        </is>
      </c>
      <c r="D759" t="inlineStr">
        <is>
          <t>24.757236</t>
        </is>
      </c>
      <c r="E759" t="inlineStr">
        <is>
          <t>124.6939449</t>
        </is>
      </c>
      <c r="F759" t="inlineStr">
        <is>
          <t>正保琉球国八山島絵図</t>
        </is>
      </c>
      <c r="G759" t="inlineStr">
        <is>
          <t>たらま嶋之内
人居有
嶋廻壱里</t>
        </is>
      </c>
      <c r="H759" t="inlineStr"/>
      <c r="I759" t="inlineStr">
        <is>
          <t>50</t>
        </is>
      </c>
      <c r="J759" t="inlineStr"/>
      <c r="K759" t="inlineStr">
        <is>
          <t>沖縄県宮古郡多良間村水納</t>
        </is>
      </c>
      <c r="L759" s="1">
        <f>HYPERLINK("https://www.hi.u-tokyo.ac.jp/collection/degitalgallary/ryukyu/item/30106", "https://www.hi.u-tokyo.ac.jp/collection/degitalgallary/ryukyu/item/30106")</f>
        <v/>
      </c>
    </row>
    <row r="760">
      <c r="A760" t="inlineStr">
        <is>
          <t>30107</t>
        </is>
      </c>
      <c r="B760" t="inlineStr">
        <is>
          <t>船かゝり不成</t>
        </is>
      </c>
      <c r="C760" t="inlineStr">
        <is>
          <t>港湾</t>
        </is>
      </c>
      <c r="D760" t="inlineStr"/>
      <c r="E760" t="inlineStr"/>
      <c r="F760" t="inlineStr">
        <is>
          <t>正保琉球国八山島絵図</t>
        </is>
      </c>
      <c r="G760" t="inlineStr"/>
      <c r="H760" t="inlineStr"/>
      <c r="I760" t="inlineStr">
        <is>
          <t>51</t>
        </is>
      </c>
      <c r="J760" t="inlineStr"/>
      <c r="K760" t="inlineStr"/>
      <c r="L760" s="1">
        <f>HYPERLINK("https://www.hi.u-tokyo.ac.jp/collection/degitalgallary/ryukyu/item/30107", "https://www.hi.u-tokyo.ac.jp/collection/degitalgallary/ryukyu/item/30107")</f>
        <v/>
      </c>
    </row>
    <row r="761">
      <c r="A761" t="inlineStr">
        <is>
          <t>30108</t>
        </is>
      </c>
      <c r="B761" t="inlineStr">
        <is>
          <t>はなれ崎</t>
        </is>
      </c>
      <c r="C761" t="inlineStr">
        <is>
          <t>崎</t>
        </is>
      </c>
      <c r="D761" t="inlineStr">
        <is>
          <t>24.7466824</t>
        </is>
      </c>
      <c r="E761" t="inlineStr">
        <is>
          <t>124.7067146</t>
        </is>
      </c>
      <c r="F761" t="inlineStr">
        <is>
          <t>正保琉球国八山島絵図</t>
        </is>
      </c>
      <c r="G761" t="inlineStr"/>
      <c r="H761" t="inlineStr"/>
      <c r="I761" t="inlineStr">
        <is>
          <t>52</t>
        </is>
      </c>
      <c r="J761" t="inlineStr"/>
      <c r="K761" t="inlineStr">
        <is>
          <t>沖縄県宮古郡多良間村水納</t>
        </is>
      </c>
      <c r="L761" s="1">
        <f>HYPERLINK("https://www.hi.u-tokyo.ac.jp/collection/degitalgallary/ryukyu/item/30108", "https://www.hi.u-tokyo.ac.jp/collection/degitalgallary/ryukyu/item/30108")</f>
        <v/>
      </c>
    </row>
    <row r="762">
      <c r="A762" t="inlineStr">
        <is>
          <t>30109</t>
        </is>
      </c>
      <c r="B762" t="inlineStr">
        <is>
          <t>はま崎</t>
        </is>
      </c>
      <c r="C762" t="inlineStr">
        <is>
          <t>崎</t>
        </is>
      </c>
      <c r="D762" t="inlineStr">
        <is>
          <t>24.7620418</t>
        </is>
      </c>
      <c r="E762" t="inlineStr">
        <is>
          <t>124.6943654</t>
        </is>
      </c>
      <c r="F762" t="inlineStr">
        <is>
          <t>正保琉球国八山島絵図</t>
        </is>
      </c>
      <c r="G762" t="inlineStr"/>
      <c r="H762" t="inlineStr"/>
      <c r="I762" t="inlineStr">
        <is>
          <t>53</t>
        </is>
      </c>
      <c r="J762" t="inlineStr"/>
      <c r="K762" t="inlineStr">
        <is>
          <t>沖縄県宮古郡多良間村水納</t>
        </is>
      </c>
      <c r="L762" s="1">
        <f>HYPERLINK("https://www.hi.u-tokyo.ac.jp/collection/degitalgallary/ryukyu/item/30109", "https://www.hi.u-tokyo.ac.jp/collection/degitalgallary/ryukyu/item/30109")</f>
        <v/>
      </c>
    </row>
    <row r="763">
      <c r="A763" t="inlineStr">
        <is>
          <t>30110</t>
        </is>
      </c>
      <c r="B763" t="inlineStr">
        <is>
          <t>たらま嶋より石墻嶋之内ひらくほ崎迄、海上十八里申酉ノ間ニ当ル</t>
        </is>
      </c>
      <c r="C763" t="inlineStr">
        <is>
          <t>航路</t>
        </is>
      </c>
      <c r="D763" t="inlineStr"/>
      <c r="E763" t="inlineStr"/>
      <c r="F763" t="inlineStr">
        <is>
          <t>正保琉球国八山島絵図</t>
        </is>
      </c>
      <c r="G763" t="inlineStr"/>
      <c r="H763" t="inlineStr"/>
      <c r="I763" t="inlineStr">
        <is>
          <t>54</t>
        </is>
      </c>
      <c r="J763" t="inlineStr"/>
      <c r="K763" t="inlineStr"/>
      <c r="L763" s="1">
        <f>HYPERLINK("https://www.hi.u-tokyo.ac.jp/collection/degitalgallary/ryukyu/item/30110", "https://www.hi.u-tokyo.ac.jp/collection/degitalgallary/ryukyu/item/30110")</f>
        <v/>
      </c>
    </row>
    <row r="764">
      <c r="A764" t="inlineStr">
        <is>
          <t>30111</t>
        </is>
      </c>
      <c r="B764" t="inlineStr">
        <is>
          <t>うら崎</t>
        </is>
      </c>
      <c r="C764" t="inlineStr">
        <is>
          <t>崎</t>
        </is>
      </c>
      <c r="D764" t="inlineStr">
        <is>
          <t>24.605298</t>
        </is>
      </c>
      <c r="E764" t="inlineStr">
        <is>
          <t>124.339576</t>
        </is>
      </c>
      <c r="F764" t="inlineStr">
        <is>
          <t>正保琉球国八山島絵図</t>
        </is>
      </c>
      <c r="G764" t="inlineStr"/>
      <c r="H764" t="inlineStr"/>
      <c r="I764" t="inlineStr">
        <is>
          <t>55</t>
        </is>
      </c>
      <c r="J764" t="inlineStr"/>
      <c r="K764" t="inlineStr">
        <is>
          <t>沖縄県石垣市平久保</t>
        </is>
      </c>
      <c r="L764" s="1">
        <f>HYPERLINK("https://www.hi.u-tokyo.ac.jp/collection/degitalgallary/ryukyu/item/30111", "https://www.hi.u-tokyo.ac.jp/collection/degitalgallary/ryukyu/item/30111")</f>
        <v/>
      </c>
    </row>
    <row r="765">
      <c r="A765" t="inlineStr">
        <is>
          <t>30112</t>
        </is>
      </c>
      <c r="B765" t="inlineStr">
        <is>
          <t>ひらくほ</t>
        </is>
      </c>
      <c r="C765" t="inlineStr">
        <is>
          <t>港湾</t>
        </is>
      </c>
      <c r="D765" t="inlineStr"/>
      <c r="E765" t="inlineStr"/>
      <c r="F765" t="inlineStr">
        <is>
          <t>正保琉球国八山島絵図</t>
        </is>
      </c>
      <c r="G765" t="inlineStr">
        <is>
          <t>船かゝり不成</t>
        </is>
      </c>
      <c r="H765" t="inlineStr"/>
      <c r="I765" t="inlineStr">
        <is>
          <t>56</t>
        </is>
      </c>
      <c r="J765" t="inlineStr"/>
      <c r="K765" t="inlineStr"/>
      <c r="L765" s="1">
        <f>HYPERLINK("https://www.hi.u-tokyo.ac.jp/collection/degitalgallary/ryukyu/item/30112", "https://www.hi.u-tokyo.ac.jp/collection/degitalgallary/ryukyu/item/30112")</f>
        <v/>
      </c>
    </row>
    <row r="766">
      <c r="A766" t="inlineStr">
        <is>
          <t>30113</t>
        </is>
      </c>
      <c r="B766" t="inlineStr">
        <is>
          <t>ひらくほ崎</t>
        </is>
      </c>
      <c r="C766" t="inlineStr">
        <is>
          <t>崎</t>
        </is>
      </c>
      <c r="D766" t="inlineStr">
        <is>
          <t>24.6099416</t>
        </is>
      </c>
      <c r="E766" t="inlineStr">
        <is>
          <t>124.316105</t>
        </is>
      </c>
      <c r="F766" t="inlineStr">
        <is>
          <t>正保琉球国八山島絵図</t>
        </is>
      </c>
      <c r="G766" t="inlineStr"/>
      <c r="H766" t="inlineStr"/>
      <c r="I766" t="inlineStr">
        <is>
          <t>57</t>
        </is>
      </c>
      <c r="J766" t="inlineStr"/>
      <c r="K766" t="inlineStr">
        <is>
          <t>沖縄県石垣市平久保</t>
        </is>
      </c>
      <c r="L766" s="1">
        <f>HYPERLINK("https://www.hi.u-tokyo.ac.jp/collection/degitalgallary/ryukyu/item/30113", "https://www.hi.u-tokyo.ac.jp/collection/degitalgallary/ryukyu/item/30113")</f>
        <v/>
      </c>
    </row>
    <row r="767">
      <c r="A767" t="inlineStr">
        <is>
          <t>30114</t>
        </is>
      </c>
      <c r="B767" t="inlineStr">
        <is>
          <t>石墻嶋之内ひらくほ崎より同嶋之内川平湊迄、海上五里半</t>
        </is>
      </c>
      <c r="C767" t="inlineStr">
        <is>
          <t>航路</t>
        </is>
      </c>
      <c r="D767" t="inlineStr"/>
      <c r="E767" t="inlineStr"/>
      <c r="F767" t="inlineStr">
        <is>
          <t>正保琉球国八山島絵図</t>
        </is>
      </c>
      <c r="G767" t="inlineStr"/>
      <c r="H767" t="inlineStr"/>
      <c r="I767" t="inlineStr">
        <is>
          <t>58</t>
        </is>
      </c>
      <c r="J767" t="inlineStr"/>
      <c r="K767" t="inlineStr"/>
      <c r="L767" s="1">
        <f>HYPERLINK("https://www.hi.u-tokyo.ac.jp/collection/degitalgallary/ryukyu/item/30114", "https://www.hi.u-tokyo.ac.jp/collection/degitalgallary/ryukyu/item/30114")</f>
        <v/>
      </c>
    </row>
    <row r="768">
      <c r="A768" t="inlineStr">
        <is>
          <t>30115</t>
        </is>
      </c>
      <c r="B768" t="inlineStr">
        <is>
          <t>歩渡り</t>
        </is>
      </c>
      <c r="C768" t="inlineStr">
        <is>
          <t>渡河点</t>
        </is>
      </c>
      <c r="D768" t="inlineStr"/>
      <c r="E768" t="inlineStr"/>
      <c r="F768" t="inlineStr">
        <is>
          <t>正保琉球国八山島絵図</t>
        </is>
      </c>
      <c r="G768" t="inlineStr"/>
      <c r="H768" t="inlineStr"/>
      <c r="I768" t="inlineStr">
        <is>
          <t>59</t>
        </is>
      </c>
      <c r="J768" t="inlineStr"/>
      <c r="K768" t="inlineStr"/>
      <c r="L768" s="1">
        <f>HYPERLINK("https://www.hi.u-tokyo.ac.jp/collection/degitalgallary/ryukyu/item/30115", "https://www.hi.u-tokyo.ac.jp/collection/degitalgallary/ryukyu/item/30115")</f>
        <v/>
      </c>
    </row>
    <row r="769">
      <c r="A769" t="inlineStr">
        <is>
          <t>30116</t>
        </is>
      </c>
      <c r="B769" t="inlineStr">
        <is>
          <t>たてく崎</t>
        </is>
      </c>
      <c r="C769" t="inlineStr">
        <is>
          <t>崎</t>
        </is>
      </c>
      <c r="D769" t="inlineStr">
        <is>
          <t>24.5607387</t>
        </is>
      </c>
      <c r="E769" t="inlineStr">
        <is>
          <t>124.2831431</t>
        </is>
      </c>
      <c r="F769" t="inlineStr">
        <is>
          <t>正保琉球国八山島絵図</t>
        </is>
      </c>
      <c r="G769" t="inlineStr"/>
      <c r="H769" t="inlineStr"/>
      <c r="I769" t="inlineStr">
        <is>
          <t>60</t>
        </is>
      </c>
      <c r="J769" t="inlineStr"/>
      <c r="K769" t="inlineStr">
        <is>
          <t>沖縄県石垣市平久保</t>
        </is>
      </c>
      <c r="L769" s="1">
        <f>HYPERLINK("https://www.hi.u-tokyo.ac.jp/collection/degitalgallary/ryukyu/item/30116", "https://www.hi.u-tokyo.ac.jp/collection/degitalgallary/ryukyu/item/30116")</f>
        <v/>
      </c>
    </row>
    <row r="770">
      <c r="A770" t="inlineStr">
        <is>
          <t>30117</t>
        </is>
      </c>
      <c r="B770" t="inlineStr">
        <is>
          <t>石崎</t>
        </is>
      </c>
      <c r="C770" t="inlineStr">
        <is>
          <t>崎</t>
        </is>
      </c>
      <c r="D770" t="inlineStr">
        <is>
          <t>24.519363</t>
        </is>
      </c>
      <c r="E770" t="inlineStr">
        <is>
          <t>124.2567142</t>
        </is>
      </c>
      <c r="F770" t="inlineStr">
        <is>
          <t>正保琉球国八山島絵図</t>
        </is>
      </c>
      <c r="G770" t="inlineStr"/>
      <c r="H770" t="inlineStr"/>
      <c r="I770" t="inlineStr">
        <is>
          <t>61</t>
        </is>
      </c>
      <c r="J770" t="inlineStr"/>
      <c r="K770" t="inlineStr">
        <is>
          <t>沖縄県石垣市野底</t>
        </is>
      </c>
      <c r="L770" s="1">
        <f>HYPERLINK("https://www.hi.u-tokyo.ac.jp/collection/degitalgallary/ryukyu/item/30117", "https://www.hi.u-tokyo.ac.jp/collection/degitalgallary/ryukyu/item/30117")</f>
        <v/>
      </c>
    </row>
    <row r="771">
      <c r="A771" t="inlineStr">
        <is>
          <t>30118</t>
        </is>
      </c>
      <c r="B771" t="inlineStr">
        <is>
          <t>野城崎</t>
        </is>
      </c>
      <c r="C771" t="inlineStr">
        <is>
          <t>崎</t>
        </is>
      </c>
      <c r="D771" t="inlineStr">
        <is>
          <t>24.4987679</t>
        </is>
      </c>
      <c r="E771" t="inlineStr">
        <is>
          <t>124.2294752</t>
        </is>
      </c>
      <c r="F771" t="inlineStr">
        <is>
          <t>正保琉球国八山島絵図</t>
        </is>
      </c>
      <c r="G771" t="inlineStr"/>
      <c r="H771" t="inlineStr"/>
      <c r="I771" t="inlineStr">
        <is>
          <t>62</t>
        </is>
      </c>
      <c r="J771" t="inlineStr"/>
      <c r="K771" t="inlineStr">
        <is>
          <t>沖縄県石垣市野底</t>
        </is>
      </c>
      <c r="L771" s="1">
        <f>HYPERLINK("https://www.hi.u-tokyo.ac.jp/collection/degitalgallary/ryukyu/item/30118", "https://www.hi.u-tokyo.ac.jp/collection/degitalgallary/ryukyu/item/30118")</f>
        <v/>
      </c>
    </row>
    <row r="772">
      <c r="A772" t="inlineStr">
        <is>
          <t>30119</t>
        </is>
      </c>
      <c r="B772" t="inlineStr">
        <is>
          <t>歩渡り</t>
        </is>
      </c>
      <c r="C772" t="inlineStr">
        <is>
          <t>渡河点</t>
        </is>
      </c>
      <c r="D772" t="inlineStr"/>
      <c r="E772" t="inlineStr"/>
      <c r="F772" t="inlineStr">
        <is>
          <t>正保琉球国八山島絵図</t>
        </is>
      </c>
      <c r="G772" t="inlineStr"/>
      <c r="H772" t="inlineStr"/>
      <c r="I772" t="inlineStr">
        <is>
          <t>63</t>
        </is>
      </c>
      <c r="J772" t="inlineStr"/>
      <c r="K772" t="inlineStr"/>
      <c r="L772" s="1">
        <f>HYPERLINK("https://www.hi.u-tokyo.ac.jp/collection/degitalgallary/ryukyu/item/30119", "https://www.hi.u-tokyo.ac.jp/collection/degitalgallary/ryukyu/item/30119")</f>
        <v/>
      </c>
    </row>
    <row r="773">
      <c r="A773" t="inlineStr">
        <is>
          <t>30120</t>
        </is>
      </c>
      <c r="B773" t="inlineStr">
        <is>
          <t>ともり崎</t>
        </is>
      </c>
      <c r="C773" t="inlineStr">
        <is>
          <t>崎</t>
        </is>
      </c>
      <c r="D773" t="inlineStr">
        <is>
          <t>24.5316828</t>
        </is>
      </c>
      <c r="E773" t="inlineStr">
        <is>
          <t>124.3078897</t>
        </is>
      </c>
      <c r="F773" t="inlineStr">
        <is>
          <t>正保琉球国八山島絵図</t>
        </is>
      </c>
      <c r="G773" t="inlineStr"/>
      <c r="H773" t="inlineStr"/>
      <c r="I773" t="inlineStr">
        <is>
          <t>64</t>
        </is>
      </c>
      <c r="J773" t="inlineStr"/>
      <c r="K773" t="inlineStr">
        <is>
          <t>沖縄県石垣市伊原間</t>
        </is>
      </c>
      <c r="L773" s="1">
        <f>HYPERLINK("https://www.hi.u-tokyo.ac.jp/collection/degitalgallary/ryukyu/item/30120", "https://www.hi.u-tokyo.ac.jp/collection/degitalgallary/ryukyu/item/30120")</f>
        <v/>
      </c>
    </row>
    <row r="774">
      <c r="A774" t="inlineStr">
        <is>
          <t>30121</t>
        </is>
      </c>
      <c r="B774" t="inlineStr">
        <is>
          <t>たまとう崎</t>
        </is>
      </c>
      <c r="C774" t="inlineStr">
        <is>
          <t>崎</t>
        </is>
      </c>
      <c r="D774" t="inlineStr">
        <is>
          <t>24.4906342</t>
        </is>
      </c>
      <c r="E774" t="inlineStr">
        <is>
          <t>124.2789102</t>
        </is>
      </c>
      <c r="F774" t="inlineStr">
        <is>
          <t>正保琉球国八山島絵図</t>
        </is>
      </c>
      <c r="G774" t="inlineStr"/>
      <c r="H774" t="inlineStr"/>
      <c r="I774" t="inlineStr">
        <is>
          <t>65</t>
        </is>
      </c>
      <c r="J774" t="inlineStr"/>
      <c r="K774" t="inlineStr">
        <is>
          <t>沖縄県石垣市伊原間</t>
        </is>
      </c>
      <c r="L774" s="1">
        <f>HYPERLINK("https://www.hi.u-tokyo.ac.jp/collection/degitalgallary/ryukyu/item/30121", "https://www.hi.u-tokyo.ac.jp/collection/degitalgallary/ryukyu/item/30121")</f>
        <v/>
      </c>
    </row>
    <row r="775">
      <c r="A775" t="inlineStr">
        <is>
          <t>30122</t>
        </is>
      </c>
      <c r="B775" t="inlineStr">
        <is>
          <t>はう崎</t>
        </is>
      </c>
      <c r="C775" t="inlineStr">
        <is>
          <t>崎</t>
        </is>
      </c>
      <c r="D775" t="inlineStr"/>
      <c r="E775" t="inlineStr"/>
      <c r="F775" t="inlineStr">
        <is>
          <t>正保琉球国八山島絵図</t>
        </is>
      </c>
      <c r="G775" t="inlineStr"/>
      <c r="H775" t="inlineStr"/>
      <c r="I775" t="inlineStr">
        <is>
          <t>66</t>
        </is>
      </c>
      <c r="J775" t="inlineStr"/>
      <c r="K775" t="inlineStr"/>
      <c r="L775" s="1">
        <f>HYPERLINK("https://www.hi.u-tokyo.ac.jp/collection/degitalgallary/ryukyu/item/30122", "https://www.hi.u-tokyo.ac.jp/collection/degitalgallary/ryukyu/item/30122")</f>
        <v/>
      </c>
    </row>
    <row r="776">
      <c r="A776" t="inlineStr">
        <is>
          <t>30123</t>
        </is>
      </c>
      <c r="B776" t="inlineStr">
        <is>
          <t>歩渡り</t>
        </is>
      </c>
      <c r="C776" t="inlineStr">
        <is>
          <t>渡河点</t>
        </is>
      </c>
      <c r="D776" t="inlineStr"/>
      <c r="E776" t="inlineStr"/>
      <c r="F776" t="inlineStr">
        <is>
          <t>正保琉球国八山島絵図</t>
        </is>
      </c>
      <c r="G776" t="inlineStr"/>
      <c r="H776" t="inlineStr"/>
      <c r="I776" t="inlineStr">
        <is>
          <t>67</t>
        </is>
      </c>
      <c r="J776" t="inlineStr"/>
      <c r="K776" t="inlineStr"/>
      <c r="L776" s="1">
        <f>HYPERLINK("https://www.hi.u-tokyo.ac.jp/collection/degitalgallary/ryukyu/item/30123", "https://www.hi.u-tokyo.ac.jp/collection/degitalgallary/ryukyu/item/30123")</f>
        <v/>
      </c>
    </row>
    <row r="777">
      <c r="A777" t="inlineStr">
        <is>
          <t>30124</t>
        </is>
      </c>
      <c r="B777" t="inlineStr">
        <is>
          <t>大野崎</t>
        </is>
      </c>
      <c r="C777" t="inlineStr">
        <is>
          <t>崎</t>
        </is>
      </c>
      <c r="D777" t="inlineStr"/>
      <c r="E777" t="inlineStr"/>
      <c r="F777" t="inlineStr">
        <is>
          <t>正保琉球国八山島絵図</t>
        </is>
      </c>
      <c r="G777" t="inlineStr"/>
      <c r="H777" t="inlineStr"/>
      <c r="I777" t="inlineStr">
        <is>
          <t>68</t>
        </is>
      </c>
      <c r="J777" t="inlineStr"/>
      <c r="K777" t="inlineStr"/>
      <c r="L777" s="1">
        <f>HYPERLINK("https://www.hi.u-tokyo.ac.jp/collection/degitalgallary/ryukyu/item/30124", "https://www.hi.u-tokyo.ac.jp/collection/degitalgallary/ryukyu/item/30124")</f>
        <v/>
      </c>
    </row>
    <row r="778">
      <c r="A778" t="inlineStr">
        <is>
          <t>30125</t>
        </is>
      </c>
      <c r="B778" t="inlineStr">
        <is>
          <t>石墻嶋
八重山嶋之内
嶋廻り十六里十七町
高弐千五百三拾八石七升九合</t>
        </is>
      </c>
      <c r="C778" t="inlineStr">
        <is>
          <t>島</t>
        </is>
      </c>
      <c r="D778" t="inlineStr">
        <is>
          <t>24.4063954</t>
        </is>
      </c>
      <c r="E778" t="inlineStr">
        <is>
          <t>124.1754627</t>
        </is>
      </c>
      <c r="F778" t="inlineStr">
        <is>
          <t>正保琉球国八山島絵図</t>
        </is>
      </c>
      <c r="G778" t="inlineStr"/>
      <c r="H778" t="inlineStr"/>
      <c r="I778" t="inlineStr">
        <is>
          <t>69</t>
        </is>
      </c>
      <c r="J778" t="inlineStr"/>
      <c r="K778" t="inlineStr">
        <is>
          <t>沖縄県石垣市字登野城</t>
        </is>
      </c>
      <c r="L778" s="1">
        <f>HYPERLINK("https://www.hi.u-tokyo.ac.jp/collection/degitalgallary/ryukyu/item/30125", "https://www.hi.u-tokyo.ac.jp/collection/degitalgallary/ryukyu/item/30125")</f>
        <v/>
      </c>
    </row>
    <row r="779">
      <c r="A779" t="inlineStr">
        <is>
          <t>30126</t>
        </is>
      </c>
      <c r="B779" t="inlineStr">
        <is>
          <t>おもと獄</t>
        </is>
      </c>
      <c r="C779" t="inlineStr">
        <is>
          <t>山</t>
        </is>
      </c>
      <c r="D779" t="inlineStr">
        <is>
          <t>24.4272609</t>
        </is>
      </c>
      <c r="E779" t="inlineStr">
        <is>
          <t>124.1834898</t>
        </is>
      </c>
      <c r="F779" t="inlineStr">
        <is>
          <t>正保琉球国八山島絵図</t>
        </is>
      </c>
      <c r="G779" t="inlineStr"/>
      <c r="H779" t="inlineStr"/>
      <c r="I779" t="inlineStr">
        <is>
          <t>70</t>
        </is>
      </c>
      <c r="J779" t="inlineStr"/>
      <c r="K779" t="inlineStr">
        <is>
          <t>沖縄県石垣市桴海</t>
        </is>
      </c>
      <c r="L779" s="1">
        <f>HYPERLINK("https://www.hi.u-tokyo.ac.jp/collection/degitalgallary/ryukyu/item/30126", "https://www.hi.u-tokyo.ac.jp/collection/degitalgallary/ryukyu/item/30126")</f>
        <v/>
      </c>
    </row>
    <row r="780">
      <c r="A780" t="inlineStr">
        <is>
          <t>30127</t>
        </is>
      </c>
      <c r="B780" t="inlineStr">
        <is>
          <t>川平</t>
        </is>
      </c>
      <c r="C780" t="inlineStr">
        <is>
          <t>港湾</t>
        </is>
      </c>
      <c r="D780" t="inlineStr">
        <is>
          <t>24.4627757</t>
        </is>
      </c>
      <c r="E780" t="inlineStr">
        <is>
          <t>124.1439629</t>
        </is>
      </c>
      <c r="F780" t="inlineStr">
        <is>
          <t>正保琉球国八山島絵図</t>
        </is>
      </c>
      <c r="G780" t="inlineStr">
        <is>
          <t>川平湊口、広三十八間、深十二尋、湊内、入六町、広一町
船繋場、深二尋、大船二三十艘程繋ル、西風ニ船繋悪シ、沖汗（ママ、干ヵ）瀬之間船出入口三十七間、深十二尋</t>
        </is>
      </c>
      <c r="H780" t="inlineStr"/>
      <c r="I780" t="inlineStr">
        <is>
          <t>71</t>
        </is>
      </c>
      <c r="J780" t="inlineStr"/>
      <c r="K780" t="inlineStr">
        <is>
          <t>沖縄県石垣市川平</t>
        </is>
      </c>
      <c r="L780" s="1">
        <f>HYPERLINK("https://www.hi.u-tokyo.ac.jp/collection/degitalgallary/ryukyu/item/30127", "https://www.hi.u-tokyo.ac.jp/collection/degitalgallary/ryukyu/item/30127")</f>
        <v/>
      </c>
    </row>
    <row r="781">
      <c r="A781" t="inlineStr">
        <is>
          <t>30128</t>
        </is>
      </c>
      <c r="B781" t="inlineStr">
        <is>
          <t>川平湊より御崎泊迄海上六里</t>
        </is>
      </c>
      <c r="C781" t="inlineStr">
        <is>
          <t>航路</t>
        </is>
      </c>
      <c r="D781" t="inlineStr"/>
      <c r="E781" t="inlineStr"/>
      <c r="F781" t="inlineStr">
        <is>
          <t>正保琉球国八山島絵図</t>
        </is>
      </c>
      <c r="G781" t="inlineStr"/>
      <c r="H781" t="inlineStr"/>
      <c r="I781" t="inlineStr">
        <is>
          <t>72</t>
        </is>
      </c>
      <c r="J781" t="inlineStr"/>
      <c r="K781" t="inlineStr"/>
      <c r="L781" s="1">
        <f>HYPERLINK("https://www.hi.u-tokyo.ac.jp/collection/degitalgallary/ryukyu/item/30128", "https://www.hi.u-tokyo.ac.jp/collection/degitalgallary/ryukyu/item/30128")</f>
        <v/>
      </c>
    </row>
    <row r="782">
      <c r="A782" t="inlineStr">
        <is>
          <t>30129</t>
        </is>
      </c>
      <c r="B782" t="inlineStr">
        <is>
          <t>磯城崎</t>
        </is>
      </c>
      <c r="C782" t="inlineStr">
        <is>
          <t>崎</t>
        </is>
      </c>
      <c r="D782" t="inlineStr">
        <is>
          <t>24.47876</t>
        </is>
      </c>
      <c r="E782" t="inlineStr">
        <is>
          <t>124.113288</t>
        </is>
      </c>
      <c r="F782" t="inlineStr">
        <is>
          <t>正保琉球国八山島絵図</t>
        </is>
      </c>
      <c r="G782" t="inlineStr"/>
      <c r="H782" t="inlineStr"/>
      <c r="I782" t="inlineStr">
        <is>
          <t>73</t>
        </is>
      </c>
      <c r="J782" t="inlineStr"/>
      <c r="K782" t="inlineStr">
        <is>
          <t>沖縄県石垣市川平</t>
        </is>
      </c>
      <c r="L782" s="1">
        <f>HYPERLINK("https://www.hi.u-tokyo.ac.jp/collection/degitalgallary/ryukyu/item/30129", "https://www.hi.u-tokyo.ac.jp/collection/degitalgallary/ryukyu/item/30129")</f>
        <v/>
      </c>
    </row>
    <row r="783">
      <c r="A783" t="inlineStr">
        <is>
          <t>30130</t>
        </is>
      </c>
      <c r="B783" t="inlineStr">
        <is>
          <t>おかみ崎</t>
        </is>
      </c>
      <c r="C783" t="inlineStr">
        <is>
          <t>崎</t>
        </is>
      </c>
      <c r="D783" t="inlineStr">
        <is>
          <t>24.4531756</t>
        </is>
      </c>
      <c r="E783" t="inlineStr">
        <is>
          <t>124.0770257</t>
        </is>
      </c>
      <c r="F783" t="inlineStr">
        <is>
          <t>正保琉球国八山島絵図</t>
        </is>
      </c>
      <c r="G783" t="inlineStr"/>
      <c r="H783" t="inlineStr"/>
      <c r="I783" t="inlineStr">
        <is>
          <t>74</t>
        </is>
      </c>
      <c r="J783" t="inlineStr"/>
      <c r="K783" t="inlineStr">
        <is>
          <t>沖縄県石垣市崎枝</t>
        </is>
      </c>
      <c r="L783" s="1">
        <f>HYPERLINK("https://www.hi.u-tokyo.ac.jp/collection/degitalgallary/ryukyu/item/30130", "https://www.hi.u-tokyo.ac.jp/collection/degitalgallary/ryukyu/item/30130")</f>
        <v/>
      </c>
    </row>
    <row r="784">
      <c r="A784" t="inlineStr">
        <is>
          <t>30131</t>
        </is>
      </c>
      <c r="B784" t="inlineStr">
        <is>
          <t>平瀬崎</t>
        </is>
      </c>
      <c r="C784" t="inlineStr">
        <is>
          <t>崎</t>
        </is>
      </c>
      <c r="D784" t="inlineStr">
        <is>
          <t>24.4315961</t>
        </is>
      </c>
      <c r="E784" t="inlineStr">
        <is>
          <t>124.070624</t>
        </is>
      </c>
      <c r="F784" t="inlineStr">
        <is>
          <t>正保琉球国八山島絵図</t>
        </is>
      </c>
      <c r="G784" t="inlineStr"/>
      <c r="H784" t="inlineStr"/>
      <c r="I784" t="inlineStr">
        <is>
          <t>75</t>
        </is>
      </c>
      <c r="J784" t="inlineStr"/>
      <c r="K784" t="inlineStr">
        <is>
          <t>沖縄県石垣市崎枝</t>
        </is>
      </c>
      <c r="L784" s="1">
        <f>HYPERLINK("https://www.hi.u-tokyo.ac.jp/collection/degitalgallary/ryukyu/item/30131", "https://www.hi.u-tokyo.ac.jp/collection/degitalgallary/ryukyu/item/30131")</f>
        <v/>
      </c>
    </row>
    <row r="785">
      <c r="A785" t="inlineStr">
        <is>
          <t>30132</t>
        </is>
      </c>
      <c r="B785" t="inlineStr">
        <is>
          <t>大崎</t>
        </is>
      </c>
      <c r="C785" t="inlineStr">
        <is>
          <t>崎</t>
        </is>
      </c>
      <c r="D785" t="inlineStr">
        <is>
          <t>24.4166896</t>
        </is>
      </c>
      <c r="E785" t="inlineStr">
        <is>
          <t>124.0848111</t>
        </is>
      </c>
      <c r="F785" t="inlineStr">
        <is>
          <t>正保琉球国八山島絵図</t>
        </is>
      </c>
      <c r="G785" t="inlineStr"/>
      <c r="H785" t="inlineStr"/>
      <c r="I785" t="inlineStr">
        <is>
          <t>76</t>
        </is>
      </c>
      <c r="J785" t="inlineStr"/>
      <c r="K785" t="inlineStr">
        <is>
          <t>沖縄県石垣市崎枝</t>
        </is>
      </c>
      <c r="L785" s="1">
        <f>HYPERLINK("https://www.hi.u-tokyo.ac.jp/collection/degitalgallary/ryukyu/item/30132", "https://www.hi.u-tokyo.ac.jp/collection/degitalgallary/ryukyu/item/30132")</f>
        <v/>
      </c>
    </row>
    <row r="786">
      <c r="A786" t="inlineStr">
        <is>
          <t>30133</t>
        </is>
      </c>
      <c r="B786" t="inlineStr">
        <is>
          <t>いやうち崎</t>
        </is>
      </c>
      <c r="C786" t="inlineStr">
        <is>
          <t>崎</t>
        </is>
      </c>
      <c r="D786" t="inlineStr">
        <is>
          <t>24.3657154</t>
        </is>
      </c>
      <c r="E786" t="inlineStr">
        <is>
          <t>124.1114967</t>
        </is>
      </c>
      <c r="F786" t="inlineStr">
        <is>
          <t>正保琉球国八山島絵図</t>
        </is>
      </c>
      <c r="G786" t="inlineStr"/>
      <c r="H786" t="inlineStr"/>
      <c r="I786" t="inlineStr">
        <is>
          <t>77</t>
        </is>
      </c>
      <c r="J786" t="inlineStr"/>
      <c r="K786" t="inlineStr">
        <is>
          <t>沖縄県石垣市新川</t>
        </is>
      </c>
      <c r="L786" s="1">
        <f>HYPERLINK("https://www.hi.u-tokyo.ac.jp/collection/degitalgallary/ryukyu/item/30133", "https://www.hi.u-tokyo.ac.jp/collection/degitalgallary/ryukyu/item/30133")</f>
        <v/>
      </c>
    </row>
    <row r="787">
      <c r="A787" t="inlineStr">
        <is>
          <t>30134</t>
        </is>
      </c>
      <c r="B787" t="inlineStr">
        <is>
          <t>権現</t>
        </is>
      </c>
      <c r="C787" t="inlineStr">
        <is>
          <t>寺社</t>
        </is>
      </c>
      <c r="D787" t="inlineStr">
        <is>
          <t>24.3434311</t>
        </is>
      </c>
      <c r="E787" t="inlineStr">
        <is>
          <t>124.1558618</t>
        </is>
      </c>
      <c r="F787" t="inlineStr">
        <is>
          <t>正保琉球国八山島絵図</t>
        </is>
      </c>
      <c r="G787" t="inlineStr"/>
      <c r="H787" t="inlineStr"/>
      <c r="I787" t="inlineStr">
        <is>
          <t>78</t>
        </is>
      </c>
      <c r="J787" t="inlineStr"/>
      <c r="K787" t="inlineStr">
        <is>
          <t>沖縄県石垣市石垣</t>
        </is>
      </c>
      <c r="L787" s="1">
        <f>HYPERLINK("https://www.hi.u-tokyo.ac.jp/collection/degitalgallary/ryukyu/item/30134", "https://www.hi.u-tokyo.ac.jp/collection/degitalgallary/ryukyu/item/30134")</f>
        <v/>
      </c>
    </row>
    <row r="788">
      <c r="A788" t="inlineStr">
        <is>
          <t>30135</t>
        </is>
      </c>
      <c r="B788" t="inlineStr">
        <is>
          <t>御崎おかみ</t>
        </is>
      </c>
      <c r="C788" t="inlineStr">
        <is>
          <t>その他</t>
        </is>
      </c>
      <c r="D788" t="inlineStr">
        <is>
          <t>24.341124</t>
        </is>
      </c>
      <c r="E788" t="inlineStr">
        <is>
          <t>124.1511325</t>
        </is>
      </c>
      <c r="F788" t="inlineStr">
        <is>
          <t>正保琉球国八山島絵図</t>
        </is>
      </c>
      <c r="G788" t="inlineStr"/>
      <c r="H788" t="inlineStr"/>
      <c r="I788" t="inlineStr">
        <is>
          <t>79</t>
        </is>
      </c>
      <c r="J788" t="inlineStr"/>
      <c r="K788" t="inlineStr">
        <is>
          <t>沖縄県石垣市浜崎町</t>
        </is>
      </c>
      <c r="L788" s="1">
        <f>HYPERLINK("https://www.hi.u-tokyo.ac.jp/collection/degitalgallary/ryukyu/item/30135", "https://www.hi.u-tokyo.ac.jp/collection/degitalgallary/ryukyu/item/30135")</f>
        <v/>
      </c>
    </row>
    <row r="789">
      <c r="A789" t="inlineStr">
        <is>
          <t>30136</t>
        </is>
      </c>
      <c r="B789" t="inlineStr">
        <is>
          <t>御崎泊
船繋り不成</t>
        </is>
      </c>
      <c r="C789" t="inlineStr">
        <is>
          <t>港湾</t>
        </is>
      </c>
      <c r="D789" t="inlineStr">
        <is>
          <t>24.3378201</t>
        </is>
      </c>
      <c r="E789" t="inlineStr">
        <is>
          <t>124.1489786</t>
        </is>
      </c>
      <c r="F789" t="inlineStr">
        <is>
          <t>正保琉球国八山島絵図</t>
        </is>
      </c>
      <c r="G789" t="inlineStr"/>
      <c r="H789" t="inlineStr"/>
      <c r="I789" t="inlineStr">
        <is>
          <t>80・81</t>
        </is>
      </c>
      <c r="J789" t="inlineStr"/>
      <c r="K789" t="inlineStr">
        <is>
          <t>沖縄県石垣市浜崎町</t>
        </is>
      </c>
      <c r="L789" s="1">
        <f>HYPERLINK("https://www.hi.u-tokyo.ac.jp/collection/degitalgallary/ryukyu/item/30136", "https://www.hi.u-tokyo.ac.jp/collection/degitalgallary/ryukyu/item/30136")</f>
        <v/>
      </c>
    </row>
    <row r="790">
      <c r="A790" t="inlineStr">
        <is>
          <t>30137</t>
        </is>
      </c>
      <c r="B790" t="inlineStr">
        <is>
          <t>さきはる崎</t>
        </is>
      </c>
      <c r="C790" t="inlineStr">
        <is>
          <t>崎</t>
        </is>
      </c>
      <c r="D790" t="inlineStr">
        <is>
          <t>24.3461619</t>
        </is>
      </c>
      <c r="E790" t="inlineStr">
        <is>
          <t>124.2006259</t>
        </is>
      </c>
      <c r="F790" t="inlineStr">
        <is>
          <t>正保琉球国八山島絵図</t>
        </is>
      </c>
      <c r="G790" t="inlineStr"/>
      <c r="H790" t="inlineStr"/>
      <c r="I790" t="inlineStr">
        <is>
          <t>82</t>
        </is>
      </c>
      <c r="J790" t="inlineStr"/>
      <c r="K790" t="inlineStr">
        <is>
          <t>沖縄県石垣市大浜</t>
        </is>
      </c>
      <c r="L790" s="1">
        <f>HYPERLINK("https://www.hi.u-tokyo.ac.jp/collection/degitalgallary/ryukyu/item/30137", "https://www.hi.u-tokyo.ac.jp/collection/degitalgallary/ryukyu/item/30137")</f>
        <v/>
      </c>
    </row>
    <row r="791">
      <c r="A791" t="inlineStr">
        <is>
          <t>30138</t>
        </is>
      </c>
      <c r="B791" t="inlineStr">
        <is>
          <t>歩渡り</t>
        </is>
      </c>
      <c r="C791" t="inlineStr">
        <is>
          <t>渡河点</t>
        </is>
      </c>
      <c r="D791" t="inlineStr">
        <is>
          <t>24.3590218</t>
        </is>
      </c>
      <c r="E791" t="inlineStr">
        <is>
          <t>124.2111065</t>
        </is>
      </c>
      <c r="F791" t="inlineStr">
        <is>
          <t>正保琉球国八山島絵図</t>
        </is>
      </c>
      <c r="G791" t="inlineStr"/>
      <c r="H791" t="inlineStr"/>
      <c r="I791" t="inlineStr">
        <is>
          <t>83</t>
        </is>
      </c>
      <c r="J791" t="inlineStr"/>
      <c r="K791" t="inlineStr">
        <is>
          <t>沖縄県石垣市宮良</t>
        </is>
      </c>
      <c r="L791" s="1">
        <f>HYPERLINK("https://www.hi.u-tokyo.ac.jp/collection/degitalgallary/ryukyu/item/30138", "https://www.hi.u-tokyo.ac.jp/collection/degitalgallary/ryukyu/item/30138")</f>
        <v/>
      </c>
    </row>
    <row r="792">
      <c r="A792" t="inlineStr">
        <is>
          <t>30139</t>
        </is>
      </c>
      <c r="B792" t="inlineStr">
        <is>
          <t>かなはか崎</t>
        </is>
      </c>
      <c r="C792" t="inlineStr">
        <is>
          <t>崎</t>
        </is>
      </c>
      <c r="D792" t="inlineStr"/>
      <c r="E792" t="inlineStr"/>
      <c r="F792" t="inlineStr">
        <is>
          <t>正保琉球国八山島絵図</t>
        </is>
      </c>
      <c r="G792" t="inlineStr"/>
      <c r="H792" t="inlineStr"/>
      <c r="I792" t="inlineStr">
        <is>
          <t>84</t>
        </is>
      </c>
      <c r="J792" t="inlineStr"/>
      <c r="K792" t="inlineStr"/>
      <c r="L792" s="1">
        <f>HYPERLINK("https://www.hi.u-tokyo.ac.jp/collection/degitalgallary/ryukyu/item/30139", "https://www.hi.u-tokyo.ac.jp/collection/degitalgallary/ryukyu/item/30139")</f>
        <v/>
      </c>
    </row>
    <row r="793">
      <c r="A793" t="inlineStr">
        <is>
          <t>30140</t>
        </is>
      </c>
      <c r="B793" t="inlineStr">
        <is>
          <t>あみかけ崎</t>
        </is>
      </c>
      <c r="C793" t="inlineStr">
        <is>
          <t>崎</t>
        </is>
      </c>
      <c r="D793" t="inlineStr"/>
      <c r="E793" t="inlineStr"/>
      <c r="F793" t="inlineStr">
        <is>
          <t>正保琉球国八山島絵図</t>
        </is>
      </c>
      <c r="G793" t="inlineStr"/>
      <c r="H793" t="inlineStr"/>
      <c r="I793" t="inlineStr">
        <is>
          <t>85</t>
        </is>
      </c>
      <c r="J793" t="inlineStr"/>
      <c r="K793" t="inlineStr"/>
      <c r="L793" s="1">
        <f>HYPERLINK("https://www.hi.u-tokyo.ac.jp/collection/degitalgallary/ryukyu/item/30140", "https://www.hi.u-tokyo.ac.jp/collection/degitalgallary/ryukyu/item/30140")</f>
        <v/>
      </c>
    </row>
    <row r="794">
      <c r="A794" t="inlineStr">
        <is>
          <t>30141</t>
        </is>
      </c>
      <c r="B794" t="inlineStr">
        <is>
          <t>御崎泊よりたけとみ嶋迄、海上一里廿六町</t>
        </is>
      </c>
      <c r="C794" t="inlineStr">
        <is>
          <t>航路</t>
        </is>
      </c>
      <c r="D794" t="inlineStr"/>
      <c r="E794" t="inlineStr"/>
      <c r="F794" t="inlineStr">
        <is>
          <t>正保琉球国八山島絵図</t>
        </is>
      </c>
      <c r="G794" t="inlineStr"/>
      <c r="H794" t="inlineStr"/>
      <c r="I794" t="inlineStr">
        <is>
          <t>86</t>
        </is>
      </c>
      <c r="J794" t="inlineStr"/>
      <c r="K794" t="inlineStr"/>
      <c r="L794" s="1">
        <f>HYPERLINK("https://www.hi.u-tokyo.ac.jp/collection/degitalgallary/ryukyu/item/30141", "https://www.hi.u-tokyo.ac.jp/collection/degitalgallary/ryukyu/item/30141")</f>
        <v/>
      </c>
    </row>
    <row r="795">
      <c r="A795" t="inlineStr">
        <is>
          <t>30142</t>
        </is>
      </c>
      <c r="B795" t="inlineStr">
        <is>
          <t>たけとみ嶋</t>
        </is>
      </c>
      <c r="C795" t="inlineStr">
        <is>
          <t>島</t>
        </is>
      </c>
      <c r="D795" t="inlineStr">
        <is>
          <t>24.3267023</t>
        </is>
      </c>
      <c r="E795" t="inlineStr">
        <is>
          <t>124.0893962</t>
        </is>
      </c>
      <c r="F795" t="inlineStr">
        <is>
          <t>正保琉球国八山島絵図</t>
        </is>
      </c>
      <c r="G795" t="inlineStr">
        <is>
          <t>石墻嶋之内
嶋廻り一里卅町</t>
        </is>
      </c>
      <c r="H795" t="inlineStr"/>
      <c r="I795" t="inlineStr">
        <is>
          <t>87</t>
        </is>
      </c>
      <c r="J795" t="inlineStr"/>
      <c r="K795" t="inlineStr">
        <is>
          <t>沖縄県八重山郡竹富町竹富</t>
        </is>
      </c>
      <c r="L795" s="1">
        <f>HYPERLINK("https://www.hi.u-tokyo.ac.jp/collection/degitalgallary/ryukyu/item/30142", "https://www.hi.u-tokyo.ac.jp/collection/degitalgallary/ryukyu/item/30142")</f>
        <v/>
      </c>
    </row>
    <row r="796">
      <c r="A796" t="inlineStr">
        <is>
          <t>30143</t>
        </is>
      </c>
      <c r="B796" t="inlineStr">
        <is>
          <t>船かゝり不成</t>
        </is>
      </c>
      <c r="C796" t="inlineStr">
        <is>
          <t>港湾</t>
        </is>
      </c>
      <c r="D796" t="inlineStr"/>
      <c r="E796" t="inlineStr"/>
      <c r="F796" t="inlineStr">
        <is>
          <t>正保琉球国八山島絵図</t>
        </is>
      </c>
      <c r="G796" t="inlineStr"/>
      <c r="H796" t="inlineStr"/>
      <c r="I796" t="inlineStr">
        <is>
          <t>88</t>
        </is>
      </c>
      <c r="J796" t="inlineStr"/>
      <c r="K796" t="inlineStr"/>
      <c r="L796" s="1">
        <f>HYPERLINK("https://www.hi.u-tokyo.ac.jp/collection/degitalgallary/ryukyu/item/30143", "https://www.hi.u-tokyo.ac.jp/collection/degitalgallary/ryukyu/item/30143")</f>
        <v/>
      </c>
    </row>
    <row r="797">
      <c r="A797" t="inlineStr">
        <is>
          <t>30144</t>
        </is>
      </c>
      <c r="B797" t="inlineStr">
        <is>
          <t>はさま崎</t>
        </is>
      </c>
      <c r="C797" t="inlineStr">
        <is>
          <t>崎</t>
        </is>
      </c>
      <c r="D797" t="inlineStr">
        <is>
          <t>24.3251004</t>
        </is>
      </c>
      <c r="E797" t="inlineStr">
        <is>
          <t>124.0758351</t>
        </is>
      </c>
      <c r="F797" t="inlineStr">
        <is>
          <t>正保琉球国八山島絵図</t>
        </is>
      </c>
      <c r="G797" t="inlineStr"/>
      <c r="H797" t="inlineStr"/>
      <c r="I797" t="inlineStr">
        <is>
          <t>89</t>
        </is>
      </c>
      <c r="J797" t="inlineStr"/>
      <c r="K797" t="inlineStr">
        <is>
          <t>沖縄県八重山郡竹富町竹富</t>
        </is>
      </c>
      <c r="L797" s="1">
        <f>HYPERLINK("https://www.hi.u-tokyo.ac.jp/collection/degitalgallary/ryukyu/item/30144", "https://www.hi.u-tokyo.ac.jp/collection/degitalgallary/ryukyu/item/30144")</f>
        <v/>
      </c>
    </row>
    <row r="798">
      <c r="A798" t="inlineStr">
        <is>
          <t>30145</t>
        </is>
      </c>
      <c r="B798" t="inlineStr">
        <is>
          <t>そとふ崎</t>
        </is>
      </c>
      <c r="C798" t="inlineStr">
        <is>
          <t>崎</t>
        </is>
      </c>
      <c r="D798" t="inlineStr">
        <is>
          <t>24.3123332</t>
        </is>
      </c>
      <c r="E798" t="inlineStr">
        <is>
          <t>124.0822531</t>
        </is>
      </c>
      <c r="F798" t="inlineStr">
        <is>
          <t>正保琉球国八山島絵図</t>
        </is>
      </c>
      <c r="G798" t="inlineStr"/>
      <c r="H798" t="inlineStr"/>
      <c r="I798" t="inlineStr">
        <is>
          <t>90</t>
        </is>
      </c>
      <c r="J798" t="inlineStr"/>
      <c r="K798" t="inlineStr">
        <is>
          <t>沖縄県八重山郡竹富町竹富</t>
        </is>
      </c>
      <c r="L798" s="1">
        <f>HYPERLINK("https://www.hi.u-tokyo.ac.jp/collection/degitalgallary/ryukyu/item/30145", "https://www.hi.u-tokyo.ac.jp/collection/degitalgallary/ryukyu/item/30145")</f>
        <v/>
      </c>
    </row>
    <row r="799">
      <c r="A799" t="inlineStr">
        <is>
          <t>30146</t>
        </is>
      </c>
      <c r="B799" t="inlineStr">
        <is>
          <t>あかりい浜崎</t>
        </is>
      </c>
      <c r="C799" t="inlineStr">
        <is>
          <t>崎</t>
        </is>
      </c>
      <c r="D799" t="inlineStr">
        <is>
          <t>24.3208252</t>
        </is>
      </c>
      <c r="E799" t="inlineStr">
        <is>
          <t>124.1020512</t>
        </is>
      </c>
      <c r="F799" t="inlineStr">
        <is>
          <t>正保琉球国八山島絵図</t>
        </is>
      </c>
      <c r="G799" t="inlineStr"/>
      <c r="H799" t="inlineStr"/>
      <c r="I799" t="inlineStr">
        <is>
          <t>91</t>
        </is>
      </c>
      <c r="J799" t="inlineStr"/>
      <c r="K799" t="inlineStr">
        <is>
          <t>沖縄県八重山郡竹富町竹富</t>
        </is>
      </c>
      <c r="L799" s="1">
        <f>HYPERLINK("https://www.hi.u-tokyo.ac.jp/collection/degitalgallary/ryukyu/item/30146", "https://www.hi.u-tokyo.ac.jp/collection/degitalgallary/ryukyu/item/30146")</f>
        <v/>
      </c>
    </row>
    <row r="800">
      <c r="A800" t="inlineStr">
        <is>
          <t>30147</t>
        </is>
      </c>
      <c r="B800" t="inlineStr">
        <is>
          <t>古絵図ニ者、○たけとみ嶋石墻嶋之内与有之候、高辻帳ニ、八重山嶋之内与有之候、</t>
        </is>
      </c>
      <c r="C800" t="inlineStr">
        <is>
          <t>付箋</t>
        </is>
      </c>
      <c r="D800" t="inlineStr"/>
      <c r="E800" t="inlineStr"/>
      <c r="F800" t="inlineStr">
        <is>
          <t>正保琉球国八山島絵図</t>
        </is>
      </c>
      <c r="G800" t="inlineStr"/>
      <c r="H800" t="inlineStr"/>
      <c r="I800" t="inlineStr">
        <is>
          <t>92</t>
        </is>
      </c>
      <c r="J800" t="inlineStr"/>
      <c r="K800" t="inlineStr"/>
      <c r="L800" s="1">
        <f>HYPERLINK("https://www.hi.u-tokyo.ac.jp/collection/degitalgallary/ryukyu/item/30147", "https://www.hi.u-tokyo.ac.jp/collection/degitalgallary/ryukyu/item/30147")</f>
        <v/>
      </c>
    </row>
    <row r="801">
      <c r="A801" t="inlineStr">
        <is>
          <t>30148</t>
        </is>
      </c>
      <c r="B801" t="inlineStr">
        <is>
          <t>たけとみ嶋より黒嶋迄、海上二里二十町</t>
        </is>
      </c>
      <c r="C801" t="inlineStr">
        <is>
          <t>航路</t>
        </is>
      </c>
      <c r="D801" t="inlineStr"/>
      <c r="E801" t="inlineStr"/>
      <c r="F801" t="inlineStr">
        <is>
          <t>正保琉球国八山島絵図</t>
        </is>
      </c>
      <c r="G801" t="inlineStr"/>
      <c r="H801" t="inlineStr"/>
      <c r="I801" t="inlineStr">
        <is>
          <t>93</t>
        </is>
      </c>
      <c r="J801" t="inlineStr"/>
      <c r="K801" t="inlineStr"/>
      <c r="L801" s="1">
        <f>HYPERLINK("https://www.hi.u-tokyo.ac.jp/collection/degitalgallary/ryukyu/item/30148", "https://www.hi.u-tokyo.ac.jp/collection/degitalgallary/ryukyu/item/30148")</f>
        <v/>
      </c>
    </row>
    <row r="802">
      <c r="A802" t="inlineStr">
        <is>
          <t>30149</t>
        </is>
      </c>
      <c r="B802" t="inlineStr">
        <is>
          <t>たけとみ嶋より小浜嶋迄、海上二里</t>
        </is>
      </c>
      <c r="C802" t="inlineStr">
        <is>
          <t>航路</t>
        </is>
      </c>
      <c r="D802" t="inlineStr"/>
      <c r="E802" t="inlineStr"/>
      <c r="F802" t="inlineStr">
        <is>
          <t>正保琉球国八山島絵図</t>
        </is>
      </c>
      <c r="G802" t="inlineStr"/>
      <c r="H802" t="inlineStr"/>
      <c r="I802" t="inlineStr">
        <is>
          <t>94</t>
        </is>
      </c>
      <c r="J802" t="inlineStr"/>
      <c r="K802" t="inlineStr"/>
      <c r="L802" s="1">
        <f>HYPERLINK("https://www.hi.u-tokyo.ac.jp/collection/degitalgallary/ryukyu/item/30149", "https://www.hi.u-tokyo.ac.jp/collection/degitalgallary/ryukyu/item/30149")</f>
        <v/>
      </c>
    </row>
    <row r="803">
      <c r="A803" t="inlineStr">
        <is>
          <t>30150</t>
        </is>
      </c>
      <c r="B803" t="inlineStr">
        <is>
          <t>石墻嶋御崎泊より入表嶋之内そなひ村迄、海上十一里酉ノ方ニ当ル</t>
        </is>
      </c>
      <c r="C803" t="inlineStr">
        <is>
          <t>航路</t>
        </is>
      </c>
      <c r="D803" t="inlineStr"/>
      <c r="E803" t="inlineStr"/>
      <c r="F803" t="inlineStr">
        <is>
          <t>正保琉球国八山島絵図</t>
        </is>
      </c>
      <c r="G803" t="inlineStr"/>
      <c r="H803" t="inlineStr"/>
      <c r="I803" t="inlineStr">
        <is>
          <t>95</t>
        </is>
      </c>
      <c r="J803" t="inlineStr"/>
      <c r="K803" t="inlineStr"/>
      <c r="L803" s="1">
        <f>HYPERLINK("https://www.hi.u-tokyo.ac.jp/collection/degitalgallary/ryukyu/item/30150", "https://www.hi.u-tokyo.ac.jp/collection/degitalgallary/ryukyu/item/30150")</f>
        <v/>
      </c>
    </row>
    <row r="804">
      <c r="A804" t="inlineStr">
        <is>
          <t>30151</t>
        </is>
      </c>
      <c r="B804" t="inlineStr">
        <is>
          <t>かやま嶋</t>
        </is>
      </c>
      <c r="C804" t="inlineStr">
        <is>
          <t>島</t>
        </is>
      </c>
      <c r="D804" t="inlineStr">
        <is>
          <t>24.3633395</t>
        </is>
      </c>
      <c r="E804" t="inlineStr">
        <is>
          <t>123.9993847</t>
        </is>
      </c>
      <c r="F804" t="inlineStr">
        <is>
          <t>正保琉球国八山島絵図</t>
        </is>
      </c>
      <c r="G804" t="inlineStr">
        <is>
          <t>人居無</t>
        </is>
      </c>
      <c r="H804" t="inlineStr"/>
      <c r="I804" t="inlineStr">
        <is>
          <t>96</t>
        </is>
      </c>
      <c r="J804" t="inlineStr"/>
      <c r="K804" t="inlineStr">
        <is>
          <t>沖縄県八重山郡竹富町小浜</t>
        </is>
      </c>
      <c r="L804" s="1">
        <f>HYPERLINK("https://www.hi.u-tokyo.ac.jp/collection/degitalgallary/ryukyu/item/30151", "https://www.hi.u-tokyo.ac.jp/collection/degitalgallary/ryukyu/item/30151")</f>
        <v/>
      </c>
    </row>
    <row r="805">
      <c r="A805" t="inlineStr">
        <is>
          <t>30152</t>
        </is>
      </c>
      <c r="B805" t="inlineStr">
        <is>
          <t>小浜嶋</t>
        </is>
      </c>
      <c r="C805" t="inlineStr">
        <is>
          <t>島</t>
        </is>
      </c>
      <c r="D805" t="inlineStr">
        <is>
          <t>24.3466078</t>
        </is>
      </c>
      <c r="E805" t="inlineStr">
        <is>
          <t>123.9805756</t>
        </is>
      </c>
      <c r="F805" t="inlineStr">
        <is>
          <t>正保琉球国八山島絵図</t>
        </is>
      </c>
      <c r="G805" t="inlineStr">
        <is>
          <t>こみ間切之内
嶋廻り三里</t>
        </is>
      </c>
      <c r="H805" t="inlineStr"/>
      <c r="I805" t="inlineStr">
        <is>
          <t>97</t>
        </is>
      </c>
      <c r="J805" t="inlineStr"/>
      <c r="K805" t="inlineStr">
        <is>
          <t>沖縄県八重山郡竹富町小浜</t>
        </is>
      </c>
      <c r="L805" s="1">
        <f>HYPERLINK("https://www.hi.u-tokyo.ac.jp/collection/degitalgallary/ryukyu/item/30152", "https://www.hi.u-tokyo.ac.jp/collection/degitalgallary/ryukyu/item/30152")</f>
        <v/>
      </c>
    </row>
    <row r="806">
      <c r="A806" t="inlineStr">
        <is>
          <t>30153</t>
        </is>
      </c>
      <c r="B806" t="inlineStr">
        <is>
          <t>船崎</t>
        </is>
      </c>
      <c r="C806" t="inlineStr">
        <is>
          <t>崎</t>
        </is>
      </c>
      <c r="D806" t="inlineStr">
        <is>
          <t>24.3462465</t>
        </is>
      </c>
      <c r="E806" t="inlineStr">
        <is>
          <t>123.9924975</t>
        </is>
      </c>
      <c r="F806" t="inlineStr">
        <is>
          <t>正保琉球国八山島絵図</t>
        </is>
      </c>
      <c r="G806" t="inlineStr"/>
      <c r="H806" t="inlineStr"/>
      <c r="I806" t="inlineStr">
        <is>
          <t>98</t>
        </is>
      </c>
      <c r="J806" t="inlineStr"/>
      <c r="K806" t="inlineStr">
        <is>
          <t>沖縄県八重山郡竹富町小浜</t>
        </is>
      </c>
      <c r="L806" s="1">
        <f>HYPERLINK("https://www.hi.u-tokyo.ac.jp/collection/degitalgallary/ryukyu/item/30153", "https://www.hi.u-tokyo.ac.jp/collection/degitalgallary/ryukyu/item/30153")</f>
        <v/>
      </c>
    </row>
    <row r="807">
      <c r="A807" t="inlineStr">
        <is>
          <t>30154</t>
        </is>
      </c>
      <c r="B807" t="inlineStr">
        <is>
          <t>屋崎</t>
        </is>
      </c>
      <c r="C807" t="inlineStr">
        <is>
          <t>崎</t>
        </is>
      </c>
      <c r="D807" t="inlineStr">
        <is>
          <t>24.3496848</t>
        </is>
      </c>
      <c r="E807" t="inlineStr">
        <is>
          <t>123.9636098</t>
        </is>
      </c>
      <c r="F807" t="inlineStr">
        <is>
          <t>正保琉球国八山島絵図</t>
        </is>
      </c>
      <c r="G807" t="inlineStr"/>
      <c r="H807" t="inlineStr"/>
      <c r="I807" t="inlineStr">
        <is>
          <t>99</t>
        </is>
      </c>
      <c r="J807" t="inlineStr"/>
      <c r="K807" t="inlineStr">
        <is>
          <t>沖縄県八重山郡竹富町小浜</t>
        </is>
      </c>
      <c r="L807" s="1">
        <f>HYPERLINK("https://www.hi.u-tokyo.ac.jp/collection/degitalgallary/ryukyu/item/30154", "https://www.hi.u-tokyo.ac.jp/collection/degitalgallary/ryukyu/item/30154")</f>
        <v/>
      </c>
    </row>
    <row r="808">
      <c r="A808" t="inlineStr">
        <is>
          <t>30155</t>
        </is>
      </c>
      <c r="B808" t="inlineStr">
        <is>
          <t>ゆね崎</t>
        </is>
      </c>
      <c r="C808" t="inlineStr">
        <is>
          <t>崎</t>
        </is>
      </c>
      <c r="D808" t="inlineStr">
        <is>
          <t>24.3348259</t>
        </is>
      </c>
      <c r="E808" t="inlineStr">
        <is>
          <t>123.952459</t>
        </is>
      </c>
      <c r="F808" t="inlineStr">
        <is>
          <t>正保琉球国八山島絵図</t>
        </is>
      </c>
      <c r="G808" t="inlineStr"/>
      <c r="H808" t="inlineStr"/>
      <c r="I808" t="inlineStr">
        <is>
          <t>100</t>
        </is>
      </c>
      <c r="J808" t="inlineStr"/>
      <c r="K808" t="inlineStr">
        <is>
          <t>沖縄県八重山郡竹富町小浜</t>
        </is>
      </c>
      <c r="L808" s="1">
        <f>HYPERLINK("https://www.hi.u-tokyo.ac.jp/collection/degitalgallary/ryukyu/item/30155", "https://www.hi.u-tokyo.ac.jp/collection/degitalgallary/ryukyu/item/30155")</f>
        <v/>
      </c>
    </row>
    <row r="809">
      <c r="A809" t="inlineStr">
        <is>
          <t>30156</t>
        </is>
      </c>
      <c r="B809" t="inlineStr">
        <is>
          <t>なへ崎</t>
        </is>
      </c>
      <c r="C809" t="inlineStr">
        <is>
          <t>崎</t>
        </is>
      </c>
      <c r="D809" t="inlineStr">
        <is>
          <t>24.3238384</t>
        </is>
      </c>
      <c r="E809" t="inlineStr">
        <is>
          <t>123.9917797</t>
        </is>
      </c>
      <c r="F809" t="inlineStr">
        <is>
          <t>正保琉球国八山島絵図</t>
        </is>
      </c>
      <c r="G809" t="inlineStr"/>
      <c r="H809" t="inlineStr"/>
      <c r="I809" t="inlineStr">
        <is>
          <t>101</t>
        </is>
      </c>
      <c r="J809" t="inlineStr"/>
      <c r="K809" t="inlineStr">
        <is>
          <t>沖縄県八重山郡竹富町小浜</t>
        </is>
      </c>
      <c r="L809" s="1">
        <f>HYPERLINK("https://www.hi.u-tokyo.ac.jp/collection/degitalgallary/ryukyu/item/30156", "https://www.hi.u-tokyo.ac.jp/collection/degitalgallary/ryukyu/item/30156")</f>
        <v/>
      </c>
    </row>
    <row r="810">
      <c r="A810" t="inlineStr">
        <is>
          <t>30157</t>
        </is>
      </c>
      <c r="B810" t="inlineStr">
        <is>
          <t>きさす崎</t>
        </is>
      </c>
      <c r="C810" t="inlineStr">
        <is>
          <t>崎</t>
        </is>
      </c>
      <c r="D810" t="inlineStr">
        <is>
          <t>24.327791</t>
        </is>
      </c>
      <c r="E810" t="inlineStr">
        <is>
          <t>124.0030616</t>
        </is>
      </c>
      <c r="F810" t="inlineStr">
        <is>
          <t>正保琉球国八山島絵図</t>
        </is>
      </c>
      <c r="G810" t="inlineStr"/>
      <c r="H810" t="inlineStr"/>
      <c r="I810" t="inlineStr">
        <is>
          <t>102</t>
        </is>
      </c>
      <c r="J810" t="inlineStr"/>
      <c r="K810" t="inlineStr">
        <is>
          <t>沖縄県八重山郡竹富町小浜</t>
        </is>
      </c>
      <c r="L810" s="1">
        <f>HYPERLINK("https://www.hi.u-tokyo.ac.jp/collection/degitalgallary/ryukyu/item/30157", "https://www.hi.u-tokyo.ac.jp/collection/degitalgallary/ryukyu/item/30157")</f>
        <v/>
      </c>
    </row>
    <row r="811">
      <c r="A811" t="inlineStr">
        <is>
          <t>30158</t>
        </is>
      </c>
      <c r="B811" t="inlineStr">
        <is>
          <t>船かゝり不成</t>
        </is>
      </c>
      <c r="C811" t="inlineStr">
        <is>
          <t>港湾</t>
        </is>
      </c>
      <c r="D811" t="inlineStr"/>
      <c r="E811" t="inlineStr"/>
      <c r="F811" t="inlineStr">
        <is>
          <t>正保琉球国八山島絵図</t>
        </is>
      </c>
      <c r="G811" t="inlineStr"/>
      <c r="H811" t="inlineStr"/>
      <c r="I811" t="inlineStr">
        <is>
          <t>103</t>
        </is>
      </c>
      <c r="J811" t="inlineStr"/>
      <c r="K811" t="inlineStr"/>
      <c r="L811" s="1">
        <f>HYPERLINK("https://www.hi.u-tokyo.ac.jp/collection/degitalgallary/ryukyu/item/30158", "https://www.hi.u-tokyo.ac.jp/collection/degitalgallary/ryukyu/item/30158")</f>
        <v/>
      </c>
    </row>
    <row r="812">
      <c r="A812" t="inlineStr">
        <is>
          <t>30159</t>
        </is>
      </c>
      <c r="B812" t="inlineStr">
        <is>
          <t>小浜嶋より入表嶋之内こみ間切迄、海上三里</t>
        </is>
      </c>
      <c r="C812" t="inlineStr">
        <is>
          <t>航路</t>
        </is>
      </c>
      <c r="D812" t="inlineStr"/>
      <c r="E812" t="inlineStr"/>
      <c r="F812" t="inlineStr">
        <is>
          <t>正保琉球国八山島絵図</t>
        </is>
      </c>
      <c r="G812" t="inlineStr"/>
      <c r="H812" t="inlineStr"/>
      <c r="I812" t="inlineStr">
        <is>
          <t>104</t>
        </is>
      </c>
      <c r="J812" t="inlineStr"/>
      <c r="K812" t="inlineStr"/>
      <c r="L812" s="1">
        <f>HYPERLINK("https://www.hi.u-tokyo.ac.jp/collection/degitalgallary/ryukyu/item/30159", "https://www.hi.u-tokyo.ac.jp/collection/degitalgallary/ryukyu/item/30159")</f>
        <v/>
      </c>
    </row>
    <row r="813">
      <c r="A813" t="inlineStr">
        <is>
          <t>30160</t>
        </is>
      </c>
      <c r="B813" t="inlineStr">
        <is>
          <t>小浜嶋より黒嶋迄、海上二里十八町</t>
        </is>
      </c>
      <c r="C813" t="inlineStr">
        <is>
          <t>航路</t>
        </is>
      </c>
      <c r="D813" t="inlineStr"/>
      <c r="E813" t="inlineStr"/>
      <c r="F813" t="inlineStr">
        <is>
          <t>正保琉球国八山島絵図</t>
        </is>
      </c>
      <c r="G813" t="inlineStr"/>
      <c r="H813" t="inlineStr"/>
      <c r="I813" t="inlineStr">
        <is>
          <t>105</t>
        </is>
      </c>
      <c r="J813" t="inlineStr"/>
      <c r="K813" t="inlineStr"/>
      <c r="L813" s="1">
        <f>HYPERLINK("https://www.hi.u-tokyo.ac.jp/collection/degitalgallary/ryukyu/item/30160", "https://www.hi.u-tokyo.ac.jp/collection/degitalgallary/ryukyu/item/30160")</f>
        <v/>
      </c>
    </row>
    <row r="814">
      <c r="A814" t="inlineStr">
        <is>
          <t>30161</t>
        </is>
      </c>
      <c r="B814" t="inlineStr">
        <is>
          <t>黒嶋</t>
        </is>
      </c>
      <c r="C814" t="inlineStr">
        <is>
          <t>島</t>
        </is>
      </c>
      <c r="D814" t="inlineStr">
        <is>
          <t>24.2339257</t>
        </is>
      </c>
      <c r="E814" t="inlineStr">
        <is>
          <t>124.0140113</t>
        </is>
      </c>
      <c r="F814" t="inlineStr">
        <is>
          <t>正保琉球国八山島絵図</t>
        </is>
      </c>
      <c r="G814" t="inlineStr">
        <is>
          <t>八重山嶋之内
嶋廻り二里廿町</t>
        </is>
      </c>
      <c r="H814" t="inlineStr"/>
      <c r="I814" t="inlineStr">
        <is>
          <t>106</t>
        </is>
      </c>
      <c r="J814" t="inlineStr"/>
      <c r="K814" t="inlineStr">
        <is>
          <t>沖縄県八重山郡竹富町黒島</t>
        </is>
      </c>
      <c r="L814" s="1">
        <f>HYPERLINK("https://www.hi.u-tokyo.ac.jp/collection/degitalgallary/ryukyu/item/30161", "https://www.hi.u-tokyo.ac.jp/collection/degitalgallary/ryukyu/item/30161")</f>
        <v/>
      </c>
    </row>
    <row r="815">
      <c r="A815" t="inlineStr">
        <is>
          <t>30162</t>
        </is>
      </c>
      <c r="B815" t="inlineStr">
        <is>
          <t>なふの崎</t>
        </is>
      </c>
      <c r="C815" t="inlineStr">
        <is>
          <t>崎</t>
        </is>
      </c>
      <c r="D815" t="inlineStr"/>
      <c r="E815" t="inlineStr"/>
      <c r="F815" t="inlineStr">
        <is>
          <t>正保琉球国八山島絵図</t>
        </is>
      </c>
      <c r="G815" t="inlineStr"/>
      <c r="H815" t="inlineStr"/>
      <c r="I815" t="inlineStr">
        <is>
          <t>107</t>
        </is>
      </c>
      <c r="J815" t="inlineStr"/>
      <c r="K815" t="inlineStr"/>
      <c r="L815" s="1">
        <f>HYPERLINK("https://www.hi.u-tokyo.ac.jp/collection/degitalgallary/ryukyu/item/30162", "https://www.hi.u-tokyo.ac.jp/collection/degitalgallary/ryukyu/item/30162")</f>
        <v/>
      </c>
    </row>
    <row r="816">
      <c r="A816" t="inlineStr">
        <is>
          <t>30163</t>
        </is>
      </c>
      <c r="B816" t="inlineStr">
        <is>
          <t>きやん崎</t>
        </is>
      </c>
      <c r="C816" t="inlineStr">
        <is>
          <t>崎</t>
        </is>
      </c>
      <c r="D816" t="inlineStr">
        <is>
          <t>24.230218</t>
        </is>
      </c>
      <c r="E816" t="inlineStr">
        <is>
          <t>124.026031</t>
        </is>
      </c>
      <c r="F816" t="inlineStr">
        <is>
          <t>正保琉球国八山島絵図</t>
        </is>
      </c>
      <c r="G816" t="inlineStr"/>
      <c r="H816" t="inlineStr"/>
      <c r="I816" t="inlineStr">
        <is>
          <t>108</t>
        </is>
      </c>
      <c r="J816" t="inlineStr"/>
      <c r="K816" t="inlineStr">
        <is>
          <t>沖縄県八重山郡竹富町黒島</t>
        </is>
      </c>
      <c r="L816" s="1">
        <f>HYPERLINK("https://www.hi.u-tokyo.ac.jp/collection/degitalgallary/ryukyu/item/30163", "https://www.hi.u-tokyo.ac.jp/collection/degitalgallary/ryukyu/item/30163")</f>
        <v/>
      </c>
    </row>
    <row r="817">
      <c r="A817" t="inlineStr">
        <is>
          <t>30164</t>
        </is>
      </c>
      <c r="B817" t="inlineStr">
        <is>
          <t>小泊崎</t>
        </is>
      </c>
      <c r="C817" t="inlineStr">
        <is>
          <t>崎</t>
        </is>
      </c>
      <c r="D817" t="inlineStr"/>
      <c r="E817" t="inlineStr"/>
      <c r="F817" t="inlineStr">
        <is>
          <t>正保琉球国八山島絵図</t>
        </is>
      </c>
      <c r="G817" t="inlineStr"/>
      <c r="H817" t="inlineStr"/>
      <c r="I817" t="inlineStr">
        <is>
          <t>109</t>
        </is>
      </c>
      <c r="J817" t="inlineStr"/>
      <c r="K817" t="inlineStr"/>
      <c r="L817" s="1">
        <f>HYPERLINK("https://www.hi.u-tokyo.ac.jp/collection/degitalgallary/ryukyu/item/30164", "https://www.hi.u-tokyo.ac.jp/collection/degitalgallary/ryukyu/item/30164")</f>
        <v/>
      </c>
    </row>
    <row r="818">
      <c r="A818" t="inlineStr">
        <is>
          <t>30165</t>
        </is>
      </c>
      <c r="B818" t="inlineStr">
        <is>
          <t>なはれ崎</t>
        </is>
      </c>
      <c r="C818" t="inlineStr">
        <is>
          <t>崎</t>
        </is>
      </c>
      <c r="D818" t="inlineStr"/>
      <c r="E818" t="inlineStr"/>
      <c r="F818" t="inlineStr">
        <is>
          <t>正保琉球国八山島絵図</t>
        </is>
      </c>
      <c r="G818" t="inlineStr"/>
      <c r="H818" t="inlineStr"/>
      <c r="I818" t="inlineStr">
        <is>
          <t>110</t>
        </is>
      </c>
      <c r="J818" t="inlineStr"/>
      <c r="K818" t="inlineStr"/>
      <c r="L818" s="1">
        <f>HYPERLINK("https://www.hi.u-tokyo.ac.jp/collection/degitalgallary/ryukyu/item/30165", "https://www.hi.u-tokyo.ac.jp/collection/degitalgallary/ryukyu/item/30165")</f>
        <v/>
      </c>
    </row>
    <row r="819">
      <c r="A819" t="inlineStr">
        <is>
          <t>30166</t>
        </is>
      </c>
      <c r="B819" t="inlineStr">
        <is>
          <t>ゆはな崎</t>
        </is>
      </c>
      <c r="C819" t="inlineStr">
        <is>
          <t>崎</t>
        </is>
      </c>
      <c r="D819" t="inlineStr">
        <is>
          <t>24.254138</t>
        </is>
      </c>
      <c r="E819" t="inlineStr">
        <is>
          <t>124.0001307</t>
        </is>
      </c>
      <c r="F819" t="inlineStr">
        <is>
          <t>正保琉球国八山島絵図</t>
        </is>
      </c>
      <c r="G819" t="inlineStr"/>
      <c r="H819" t="inlineStr"/>
      <c r="I819" t="inlineStr">
        <is>
          <t>111</t>
        </is>
      </c>
      <c r="J819" t="inlineStr"/>
      <c r="K819" t="inlineStr">
        <is>
          <t>沖縄県八重山郡竹富町黒島</t>
        </is>
      </c>
      <c r="L819" s="1">
        <f>HYPERLINK("https://www.hi.u-tokyo.ac.jp/collection/degitalgallary/ryukyu/item/30166", "https://www.hi.u-tokyo.ac.jp/collection/degitalgallary/ryukyu/item/30166")</f>
        <v/>
      </c>
    </row>
    <row r="820">
      <c r="A820" t="inlineStr">
        <is>
          <t>30167</t>
        </is>
      </c>
      <c r="B820" t="inlineStr">
        <is>
          <t>船かゝり不成</t>
        </is>
      </c>
      <c r="C820" t="inlineStr">
        <is>
          <t>港湾</t>
        </is>
      </c>
      <c r="D820" t="inlineStr"/>
      <c r="E820" t="inlineStr"/>
      <c r="F820" t="inlineStr">
        <is>
          <t>正保琉球国八山島絵図</t>
        </is>
      </c>
      <c r="G820" t="inlineStr"/>
      <c r="H820" t="inlineStr"/>
      <c r="I820" t="inlineStr">
        <is>
          <t>112</t>
        </is>
      </c>
      <c r="J820" t="inlineStr"/>
      <c r="K820" t="inlineStr"/>
      <c r="L820" s="1">
        <f>HYPERLINK("https://www.hi.u-tokyo.ac.jp/collection/degitalgallary/ryukyu/item/30167", "https://www.hi.u-tokyo.ac.jp/collection/degitalgallary/ryukyu/item/30167")</f>
        <v/>
      </c>
    </row>
    <row r="821">
      <c r="A821" t="inlineStr">
        <is>
          <t>30168</t>
        </is>
      </c>
      <c r="B821" t="inlineStr">
        <is>
          <t>黒嶋よりこみ間切迄、海上二里十町</t>
        </is>
      </c>
      <c r="C821" t="inlineStr">
        <is>
          <t>航路</t>
        </is>
      </c>
      <c r="D821" t="inlineStr"/>
      <c r="E821" t="inlineStr"/>
      <c r="F821" t="inlineStr">
        <is>
          <t>正保琉球国八山島絵図</t>
        </is>
      </c>
      <c r="G821" t="inlineStr"/>
      <c r="H821" t="inlineStr"/>
      <c r="I821" t="inlineStr">
        <is>
          <t>113</t>
        </is>
      </c>
      <c r="J821" t="inlineStr"/>
      <c r="K821" t="inlineStr"/>
      <c r="L821" s="1">
        <f>HYPERLINK("https://www.hi.u-tokyo.ac.jp/collection/degitalgallary/ryukyu/item/30168", "https://www.hi.u-tokyo.ac.jp/collection/degitalgallary/ryukyu/item/30168")</f>
        <v/>
      </c>
    </row>
    <row r="822">
      <c r="A822" t="inlineStr">
        <is>
          <t>30169</t>
        </is>
      </c>
      <c r="B822" t="inlineStr">
        <is>
          <t>黒嶋より上離嶋迄、海上一里十町</t>
        </is>
      </c>
      <c r="C822" t="inlineStr">
        <is>
          <t>航路</t>
        </is>
      </c>
      <c r="D822" t="inlineStr"/>
      <c r="E822" t="inlineStr"/>
      <c r="F822" t="inlineStr">
        <is>
          <t>正保琉球国八山島絵図</t>
        </is>
      </c>
      <c r="G822" t="inlineStr"/>
      <c r="H822" t="inlineStr"/>
      <c r="I822" t="inlineStr">
        <is>
          <t>114</t>
        </is>
      </c>
      <c r="J822" t="inlineStr"/>
      <c r="K822" t="inlineStr"/>
      <c r="L822" s="1">
        <f>HYPERLINK("https://www.hi.u-tokyo.ac.jp/collection/degitalgallary/ryukyu/item/30169", "https://www.hi.u-tokyo.ac.jp/collection/degitalgallary/ryukyu/item/30169")</f>
        <v/>
      </c>
    </row>
    <row r="823">
      <c r="A823" t="inlineStr">
        <is>
          <t>30170</t>
        </is>
      </c>
      <c r="B823" t="inlineStr">
        <is>
          <t>上離嶋</t>
        </is>
      </c>
      <c r="C823" t="inlineStr">
        <is>
          <t>島</t>
        </is>
      </c>
      <c r="D823" t="inlineStr">
        <is>
          <t>24.2346556</t>
        </is>
      </c>
      <c r="E823" t="inlineStr">
        <is>
          <t>123.9449454</t>
        </is>
      </c>
      <c r="F823" t="inlineStr">
        <is>
          <t>正保琉球国八山島絵図</t>
        </is>
      </c>
      <c r="G823" t="inlineStr">
        <is>
          <t>黒嶋之内
人居有
嶋廻一里十町</t>
        </is>
      </c>
      <c r="H823" t="inlineStr"/>
      <c r="I823" t="inlineStr">
        <is>
          <t>115</t>
        </is>
      </c>
      <c r="J823" t="inlineStr"/>
      <c r="K823" t="inlineStr">
        <is>
          <t>沖縄県八重山郡竹富町新城</t>
        </is>
      </c>
      <c r="L823" s="1">
        <f>HYPERLINK("https://www.hi.u-tokyo.ac.jp/collection/degitalgallary/ryukyu/item/30170", "https://www.hi.u-tokyo.ac.jp/collection/degitalgallary/ryukyu/item/30170")</f>
        <v/>
      </c>
    </row>
    <row r="824">
      <c r="A824" t="inlineStr">
        <is>
          <t>30171</t>
        </is>
      </c>
      <c r="B824" t="inlineStr">
        <is>
          <t>はへたけ崎</t>
        </is>
      </c>
      <c r="C824" t="inlineStr">
        <is>
          <t>崎</t>
        </is>
      </c>
      <c r="D824" t="inlineStr"/>
      <c r="E824" t="inlineStr"/>
      <c r="F824" t="inlineStr">
        <is>
          <t>正保琉球国八山島絵図</t>
        </is>
      </c>
      <c r="G824" t="inlineStr"/>
      <c r="H824" t="inlineStr"/>
      <c r="I824" t="inlineStr">
        <is>
          <t>116</t>
        </is>
      </c>
      <c r="J824" t="inlineStr"/>
      <c r="K824" t="inlineStr"/>
      <c r="L824" s="1">
        <f>HYPERLINK("https://www.hi.u-tokyo.ac.jp/collection/degitalgallary/ryukyu/item/30171", "https://www.hi.u-tokyo.ac.jp/collection/degitalgallary/ryukyu/item/30171")</f>
        <v/>
      </c>
    </row>
    <row r="825">
      <c r="A825" t="inlineStr">
        <is>
          <t>30172</t>
        </is>
      </c>
      <c r="B825" t="inlineStr">
        <is>
          <t>わたり瀬崎</t>
        </is>
      </c>
      <c r="C825" t="inlineStr">
        <is>
          <t>崎</t>
        </is>
      </c>
      <c r="D825" t="inlineStr"/>
      <c r="E825" t="inlineStr"/>
      <c r="F825" t="inlineStr">
        <is>
          <t>正保琉球国八山島絵図</t>
        </is>
      </c>
      <c r="G825" t="inlineStr"/>
      <c r="H825" t="inlineStr"/>
      <c r="I825" t="inlineStr">
        <is>
          <t>117</t>
        </is>
      </c>
      <c r="J825" t="inlineStr"/>
      <c r="K825" t="inlineStr"/>
      <c r="L825" s="1">
        <f>HYPERLINK("https://www.hi.u-tokyo.ac.jp/collection/degitalgallary/ryukyu/item/30172", "https://www.hi.u-tokyo.ac.jp/collection/degitalgallary/ryukyu/item/30172")</f>
        <v/>
      </c>
    </row>
    <row r="826">
      <c r="A826" t="inlineStr">
        <is>
          <t>30173</t>
        </is>
      </c>
      <c r="B826" t="inlineStr">
        <is>
          <t>船かゝり不成</t>
        </is>
      </c>
      <c r="C826" t="inlineStr">
        <is>
          <t>港湾</t>
        </is>
      </c>
      <c r="D826" t="inlineStr"/>
      <c r="E826" t="inlineStr"/>
      <c r="F826" t="inlineStr">
        <is>
          <t>正保琉球国八山島絵図</t>
        </is>
      </c>
      <c r="G826" t="inlineStr"/>
      <c r="H826" t="inlineStr"/>
      <c r="I826" t="inlineStr">
        <is>
          <t>118</t>
        </is>
      </c>
      <c r="J826" t="inlineStr"/>
      <c r="K826" t="inlineStr"/>
      <c r="L826" s="1">
        <f>HYPERLINK("https://www.hi.u-tokyo.ac.jp/collection/degitalgallary/ryukyu/item/30173", "https://www.hi.u-tokyo.ac.jp/collection/degitalgallary/ryukyu/item/30173")</f>
        <v/>
      </c>
    </row>
    <row r="827">
      <c r="A827" t="inlineStr">
        <is>
          <t>30174</t>
        </is>
      </c>
      <c r="B827" t="inlineStr">
        <is>
          <t>此間海上十六町</t>
        </is>
      </c>
      <c r="C827" t="inlineStr">
        <is>
          <t>その他</t>
        </is>
      </c>
      <c r="D827" t="inlineStr"/>
      <c r="E827" t="inlineStr"/>
      <c r="F827" t="inlineStr">
        <is>
          <t>正保琉球国八山島絵図</t>
        </is>
      </c>
      <c r="G827" t="inlineStr"/>
      <c r="H827" t="inlineStr"/>
      <c r="I827" t="inlineStr">
        <is>
          <t>119</t>
        </is>
      </c>
      <c r="J827" t="inlineStr"/>
      <c r="K827" t="inlineStr"/>
      <c r="L827" s="1">
        <f>HYPERLINK("https://www.hi.u-tokyo.ac.jp/collection/degitalgallary/ryukyu/item/30174", "https://www.hi.u-tokyo.ac.jp/collection/degitalgallary/ryukyu/item/30174")</f>
        <v/>
      </c>
    </row>
    <row r="828">
      <c r="A828" t="inlineStr">
        <is>
          <t>30175</t>
        </is>
      </c>
      <c r="B828" t="inlineStr">
        <is>
          <t>下離嶋</t>
        </is>
      </c>
      <c r="C828" t="inlineStr">
        <is>
          <t>島</t>
        </is>
      </c>
      <c r="D828" t="inlineStr">
        <is>
          <t>24.2213297</t>
        </is>
      </c>
      <c r="E828" t="inlineStr">
        <is>
          <t>123.9345521</t>
        </is>
      </c>
      <c r="F828" t="inlineStr">
        <is>
          <t>正保琉球国八山島絵図</t>
        </is>
      </c>
      <c r="G828" t="inlineStr">
        <is>
          <t>黒嶋之内
嶋廻廿七町
人居有</t>
        </is>
      </c>
      <c r="H828" t="inlineStr"/>
      <c r="I828" t="inlineStr">
        <is>
          <t>120</t>
        </is>
      </c>
      <c r="J828" t="inlineStr"/>
      <c r="K828" t="inlineStr">
        <is>
          <t>沖縄県八重山郡竹富町新城</t>
        </is>
      </c>
      <c r="L828" s="1">
        <f>HYPERLINK("https://www.hi.u-tokyo.ac.jp/collection/degitalgallary/ryukyu/item/30175", "https://www.hi.u-tokyo.ac.jp/collection/degitalgallary/ryukyu/item/30175")</f>
        <v/>
      </c>
    </row>
    <row r="829">
      <c r="A829" t="inlineStr">
        <is>
          <t>30176</t>
        </is>
      </c>
      <c r="B829" t="inlineStr">
        <is>
          <t>くしく崎</t>
        </is>
      </c>
      <c r="C829" t="inlineStr">
        <is>
          <t>崎</t>
        </is>
      </c>
      <c r="D829" t="inlineStr"/>
      <c r="E829" t="inlineStr"/>
      <c r="F829" t="inlineStr">
        <is>
          <t>正保琉球国八山島絵図</t>
        </is>
      </c>
      <c r="G829" t="inlineStr"/>
      <c r="H829" t="inlineStr"/>
      <c r="I829" t="inlineStr">
        <is>
          <t>121</t>
        </is>
      </c>
      <c r="J829" t="inlineStr"/>
      <c r="K829" t="inlineStr"/>
      <c r="L829" s="1">
        <f>HYPERLINK("https://www.hi.u-tokyo.ac.jp/collection/degitalgallary/ryukyu/item/30176", "https://www.hi.u-tokyo.ac.jp/collection/degitalgallary/ryukyu/item/30176")</f>
        <v/>
      </c>
    </row>
    <row r="830">
      <c r="A830" t="inlineStr">
        <is>
          <t>30177</t>
        </is>
      </c>
      <c r="B830" t="inlineStr">
        <is>
          <t>船かゝり不成</t>
        </is>
      </c>
      <c r="C830" t="inlineStr">
        <is>
          <t>港湾</t>
        </is>
      </c>
      <c r="D830" t="inlineStr"/>
      <c r="E830" t="inlineStr"/>
      <c r="F830" t="inlineStr">
        <is>
          <t>正保琉球国八山島絵図</t>
        </is>
      </c>
      <c r="G830" t="inlineStr"/>
      <c r="H830" t="inlineStr"/>
      <c r="I830" t="inlineStr">
        <is>
          <t>122</t>
        </is>
      </c>
      <c r="J830" t="inlineStr"/>
      <c r="K830" t="inlineStr"/>
      <c r="L830" s="1">
        <f>HYPERLINK("https://www.hi.u-tokyo.ac.jp/collection/degitalgallary/ryukyu/item/30177", "https://www.hi.u-tokyo.ac.jp/collection/degitalgallary/ryukyu/item/30177")</f>
        <v/>
      </c>
    </row>
    <row r="831">
      <c r="A831" t="inlineStr">
        <is>
          <t>30178</t>
        </is>
      </c>
      <c r="B831" t="inlineStr">
        <is>
          <t>下離嶋より波照間嶋迄、海上十二里未申ノ間ニ当ル</t>
        </is>
      </c>
      <c r="C831" t="inlineStr">
        <is>
          <t>航路</t>
        </is>
      </c>
      <c r="D831" t="inlineStr"/>
      <c r="E831" t="inlineStr"/>
      <c r="F831" t="inlineStr">
        <is>
          <t>正保琉球国八山島絵図</t>
        </is>
      </c>
      <c r="G831" t="inlineStr"/>
      <c r="H831" t="inlineStr"/>
      <c r="I831" t="inlineStr">
        <is>
          <t>123</t>
        </is>
      </c>
      <c r="J831" t="inlineStr"/>
      <c r="K831" t="inlineStr"/>
      <c r="L831" s="1">
        <f>HYPERLINK("https://www.hi.u-tokyo.ac.jp/collection/degitalgallary/ryukyu/item/30178", "https://www.hi.u-tokyo.ac.jp/collection/degitalgallary/ryukyu/item/30178")</f>
        <v/>
      </c>
    </row>
    <row r="832">
      <c r="A832" t="inlineStr">
        <is>
          <t>30179</t>
        </is>
      </c>
      <c r="B832" t="inlineStr">
        <is>
          <t>波照間嶋</t>
        </is>
      </c>
      <c r="C832" t="inlineStr">
        <is>
          <t>島</t>
        </is>
      </c>
      <c r="D832" t="inlineStr">
        <is>
          <t>24.0631677</t>
        </is>
      </c>
      <c r="E832" t="inlineStr">
        <is>
          <t>123.7797054</t>
        </is>
      </c>
      <c r="F832" t="inlineStr">
        <is>
          <t>正保琉球国八山島絵図</t>
        </is>
      </c>
      <c r="G832" t="inlineStr">
        <is>
          <t>八重山嶋之内
嶋廻三里廿町</t>
        </is>
      </c>
      <c r="H832" t="inlineStr"/>
      <c r="I832" t="inlineStr">
        <is>
          <t>124</t>
        </is>
      </c>
      <c r="J832" t="inlineStr"/>
      <c r="K832" t="inlineStr">
        <is>
          <t>沖縄県八重山郡竹富町波照間</t>
        </is>
      </c>
      <c r="L832" s="1">
        <f>HYPERLINK("https://www.hi.u-tokyo.ac.jp/collection/degitalgallary/ryukyu/item/30179", "https://www.hi.u-tokyo.ac.jp/collection/degitalgallary/ryukyu/item/30179")</f>
        <v/>
      </c>
    </row>
    <row r="833">
      <c r="A833" t="inlineStr">
        <is>
          <t>30180</t>
        </is>
      </c>
      <c r="B833" t="inlineStr">
        <is>
          <t>をない崎</t>
        </is>
      </c>
      <c r="C833" t="inlineStr">
        <is>
          <t>崎</t>
        </is>
      </c>
      <c r="D833" t="inlineStr">
        <is>
          <t>24.0661077</t>
        </is>
      </c>
      <c r="E833" t="inlineStr">
        <is>
          <t>123.7660574</t>
        </is>
      </c>
      <c r="F833" t="inlineStr">
        <is>
          <t>正保琉球国八山島絵図</t>
        </is>
      </c>
      <c r="G833" t="inlineStr"/>
      <c r="H833" t="inlineStr"/>
      <c r="I833" t="inlineStr">
        <is>
          <t>125</t>
        </is>
      </c>
      <c r="J833" t="inlineStr"/>
      <c r="K833" t="inlineStr">
        <is>
          <t>沖縄県八重山郡竹富町波照間</t>
        </is>
      </c>
      <c r="L833" s="1">
        <f>HYPERLINK("https://www.hi.u-tokyo.ac.jp/collection/degitalgallary/ryukyu/item/30180", "https://www.hi.u-tokyo.ac.jp/collection/degitalgallary/ryukyu/item/30180")</f>
        <v/>
      </c>
    </row>
    <row r="834">
      <c r="A834" t="inlineStr">
        <is>
          <t>30181</t>
        </is>
      </c>
      <c r="B834" t="inlineStr">
        <is>
          <t>船かゝり不成</t>
        </is>
      </c>
      <c r="C834" t="inlineStr">
        <is>
          <t>港湾</t>
        </is>
      </c>
      <c r="D834" t="inlineStr"/>
      <c r="E834" t="inlineStr"/>
      <c r="F834" t="inlineStr">
        <is>
          <t>正保琉球国八山島絵図</t>
        </is>
      </c>
      <c r="G834" t="inlineStr"/>
      <c r="H834" t="inlineStr"/>
      <c r="I834" t="inlineStr">
        <is>
          <t>126</t>
        </is>
      </c>
      <c r="J834" t="inlineStr"/>
      <c r="K834" t="inlineStr"/>
      <c r="L834" s="1">
        <f>HYPERLINK("https://www.hi.u-tokyo.ac.jp/collection/degitalgallary/ryukyu/item/30181", "https://www.hi.u-tokyo.ac.jp/collection/degitalgallary/ryukyu/item/30181")</f>
        <v/>
      </c>
    </row>
    <row r="835">
      <c r="A835" t="inlineStr">
        <is>
          <t>30182</t>
        </is>
      </c>
      <c r="B835" t="inlineStr">
        <is>
          <t>はま崎</t>
        </is>
      </c>
      <c r="C835" t="inlineStr">
        <is>
          <t>崎</t>
        </is>
      </c>
      <c r="D835" t="inlineStr">
        <is>
          <t>24.0628582</t>
        </is>
      </c>
      <c r="E835" t="inlineStr">
        <is>
          <t>123.7547977</t>
        </is>
      </c>
      <c r="F835" t="inlineStr">
        <is>
          <t>正保琉球国八山島絵図</t>
        </is>
      </c>
      <c r="G835" t="inlineStr"/>
      <c r="H835" t="inlineStr"/>
      <c r="I835" t="inlineStr">
        <is>
          <t>127</t>
        </is>
      </c>
      <c r="J835" t="inlineStr"/>
      <c r="K835" t="inlineStr">
        <is>
          <t>沖縄県八重山郡竹富町波照間</t>
        </is>
      </c>
      <c r="L835" s="1">
        <f>HYPERLINK("https://www.hi.u-tokyo.ac.jp/collection/degitalgallary/ryukyu/item/30182", "https://www.hi.u-tokyo.ac.jp/collection/degitalgallary/ryukyu/item/30182")</f>
        <v/>
      </c>
    </row>
    <row r="836">
      <c r="A836" t="inlineStr">
        <is>
          <t>30183</t>
        </is>
      </c>
      <c r="B836" t="inlineStr">
        <is>
          <t>高瀬崎</t>
        </is>
      </c>
      <c r="C836" t="inlineStr">
        <is>
          <t>崎</t>
        </is>
      </c>
      <c r="D836" t="inlineStr">
        <is>
          <t>24.0499285</t>
        </is>
      </c>
      <c r="E836" t="inlineStr">
        <is>
          <t>123.8048891</t>
        </is>
      </c>
      <c r="F836" t="inlineStr">
        <is>
          <t>正保琉球国八山島絵図</t>
        </is>
      </c>
      <c r="G836" t="inlineStr"/>
      <c r="H836" t="inlineStr"/>
      <c r="I836" t="inlineStr">
        <is>
          <t>128</t>
        </is>
      </c>
      <c r="J836" t="inlineStr"/>
      <c r="K836" t="inlineStr">
        <is>
          <t>沖縄県八重山郡竹富町波照間</t>
        </is>
      </c>
      <c r="L836" s="1">
        <f>HYPERLINK("https://www.hi.u-tokyo.ac.jp/collection/degitalgallary/ryukyu/item/30183", "https://www.hi.u-tokyo.ac.jp/collection/degitalgallary/ryukyu/item/30183")</f>
        <v/>
      </c>
    </row>
    <row r="837">
      <c r="A837" t="inlineStr">
        <is>
          <t>30184</t>
        </is>
      </c>
      <c r="B837" t="inlineStr">
        <is>
          <t>はへひら崎</t>
        </is>
      </c>
      <c r="C837" t="inlineStr">
        <is>
          <t>崎</t>
        </is>
      </c>
      <c r="D837" t="inlineStr">
        <is>
          <t>24.0614344</t>
        </is>
      </c>
      <c r="E837" t="inlineStr">
        <is>
          <t>123.8104698</t>
        </is>
      </c>
      <c r="F837" t="inlineStr">
        <is>
          <t>正保琉球国八山島絵図</t>
        </is>
      </c>
      <c r="G837" t="inlineStr"/>
      <c r="H837" t="inlineStr"/>
      <c r="I837" t="inlineStr">
        <is>
          <t>129</t>
        </is>
      </c>
      <c r="J837" t="inlineStr"/>
      <c r="K837" t="inlineStr">
        <is>
          <t>沖縄県八重山郡竹富町波照間</t>
        </is>
      </c>
      <c r="L837" s="1">
        <f>HYPERLINK("https://www.hi.u-tokyo.ac.jp/collection/degitalgallary/ryukyu/item/30184", "https://www.hi.u-tokyo.ac.jp/collection/degitalgallary/ryukyu/item/30184")</f>
        <v/>
      </c>
    </row>
    <row r="838">
      <c r="A838" t="inlineStr">
        <is>
          <t>30185</t>
        </is>
      </c>
      <c r="B838" t="inlineStr">
        <is>
          <t>入表嶋</t>
        </is>
      </c>
      <c r="C838" t="inlineStr">
        <is>
          <t>島</t>
        </is>
      </c>
      <c r="D838" t="inlineStr">
        <is>
          <t>24.3300613</t>
        </is>
      </c>
      <c r="E838" t="inlineStr">
        <is>
          <t>123.8187977</t>
        </is>
      </c>
      <c r="F838" t="inlineStr">
        <is>
          <t>正保琉球国八山島絵図</t>
        </is>
      </c>
      <c r="G838" t="inlineStr">
        <is>
          <t>八重山嶋之内
嶋廻り十五里
高三千三百三拾弐石七斗九升五合</t>
        </is>
      </c>
      <c r="H838" t="inlineStr"/>
      <c r="I838" t="inlineStr">
        <is>
          <t>130</t>
        </is>
      </c>
      <c r="J838" t="inlineStr"/>
      <c r="K838" t="inlineStr">
        <is>
          <t>沖縄県八重山郡竹富町南風見</t>
        </is>
      </c>
      <c r="L838" s="1">
        <f>HYPERLINK("https://www.hi.u-tokyo.ac.jp/collection/degitalgallary/ryukyu/item/30185", "https://www.hi.u-tokyo.ac.jp/collection/degitalgallary/ryukyu/item/30185")</f>
        <v/>
      </c>
    </row>
    <row r="839">
      <c r="A839" t="inlineStr">
        <is>
          <t>30186</t>
        </is>
      </c>
      <c r="B839" t="inlineStr">
        <is>
          <t>鳩間嶋</t>
        </is>
      </c>
      <c r="C839" t="inlineStr">
        <is>
          <t>島</t>
        </is>
      </c>
      <c r="D839" t="inlineStr">
        <is>
          <t>24.4728533</t>
        </is>
      </c>
      <c r="E839" t="inlineStr">
        <is>
          <t>123.8215894</t>
        </is>
      </c>
      <c r="F839" t="inlineStr">
        <is>
          <t>正保琉球国八山島絵図</t>
        </is>
      </c>
      <c r="G839" t="inlineStr">
        <is>
          <t>こみ間切之内
人居有
嶋廻廿弐町</t>
        </is>
      </c>
      <c r="H839" t="inlineStr"/>
      <c r="I839" t="inlineStr">
        <is>
          <t>131</t>
        </is>
      </c>
      <c r="J839" t="inlineStr"/>
      <c r="K839" t="inlineStr">
        <is>
          <t>沖縄県八重山郡竹富町鳩間</t>
        </is>
      </c>
      <c r="L839" s="1">
        <f>HYPERLINK("https://www.hi.u-tokyo.ac.jp/collection/degitalgallary/ryukyu/item/30186", "https://www.hi.u-tokyo.ac.jp/collection/degitalgallary/ryukyu/item/30186")</f>
        <v/>
      </c>
    </row>
    <row r="840">
      <c r="A840" t="inlineStr">
        <is>
          <t>30187</t>
        </is>
      </c>
      <c r="B840" t="inlineStr">
        <is>
          <t>船かゝり不成</t>
        </is>
      </c>
      <c r="C840" t="inlineStr">
        <is>
          <t>港湾</t>
        </is>
      </c>
      <c r="D840" t="inlineStr"/>
      <c r="E840" t="inlineStr"/>
      <c r="F840" t="inlineStr">
        <is>
          <t>正保琉球国八山島絵図</t>
        </is>
      </c>
      <c r="G840" t="inlineStr"/>
      <c r="H840" t="inlineStr"/>
      <c r="I840" t="inlineStr">
        <is>
          <t>132</t>
        </is>
      </c>
      <c r="J840" t="inlineStr"/>
      <c r="K840" t="inlineStr"/>
      <c r="L840" s="1">
        <f>HYPERLINK("https://www.hi.u-tokyo.ac.jp/collection/degitalgallary/ryukyu/item/30187", "https://www.hi.u-tokyo.ac.jp/collection/degitalgallary/ryukyu/item/30187")</f>
        <v/>
      </c>
    </row>
    <row r="841">
      <c r="A841" t="inlineStr">
        <is>
          <t>30188</t>
        </is>
      </c>
      <c r="B841" t="inlineStr">
        <is>
          <t>ひけ川村より鳩間嶋迄、海上二里半</t>
        </is>
      </c>
      <c r="C841" t="inlineStr">
        <is>
          <t>航路</t>
        </is>
      </c>
      <c r="D841" t="inlineStr"/>
      <c r="E841" t="inlineStr"/>
      <c r="F841" t="inlineStr">
        <is>
          <t>正保琉球国八山島絵図</t>
        </is>
      </c>
      <c r="G841" t="inlineStr"/>
      <c r="H841" t="inlineStr"/>
      <c r="I841" t="inlineStr">
        <is>
          <t>133</t>
        </is>
      </c>
      <c r="J841" t="inlineStr"/>
      <c r="K841" t="inlineStr"/>
      <c r="L841" s="1">
        <f>HYPERLINK("https://www.hi.u-tokyo.ac.jp/collection/degitalgallary/ryukyu/item/30188", "https://www.hi.u-tokyo.ac.jp/collection/degitalgallary/ryukyu/item/30188")</f>
        <v/>
      </c>
    </row>
    <row r="842">
      <c r="A842" t="inlineStr">
        <is>
          <t>30189</t>
        </is>
      </c>
      <c r="B842" t="inlineStr">
        <is>
          <t>歩渡り</t>
        </is>
      </c>
      <c r="C842" t="inlineStr">
        <is>
          <t>渡河点</t>
        </is>
      </c>
      <c r="D842" t="inlineStr"/>
      <c r="E842" t="inlineStr"/>
      <c r="F842" t="inlineStr">
        <is>
          <t>正保琉球国八山島絵図</t>
        </is>
      </c>
      <c r="G842" t="inlineStr"/>
      <c r="H842" t="inlineStr"/>
      <c r="I842" t="inlineStr">
        <is>
          <t>134</t>
        </is>
      </c>
      <c r="J842" t="inlineStr"/>
      <c r="K842" t="inlineStr"/>
      <c r="L842" s="1">
        <f>HYPERLINK("https://www.hi.u-tokyo.ac.jp/collection/degitalgallary/ryukyu/item/30189", "https://www.hi.u-tokyo.ac.jp/collection/degitalgallary/ryukyu/item/30189")</f>
        <v/>
      </c>
    </row>
    <row r="843">
      <c r="A843" t="inlineStr">
        <is>
          <t>30190</t>
        </is>
      </c>
      <c r="B843" t="inlineStr">
        <is>
          <t>平瀬崎</t>
        </is>
      </c>
      <c r="C843" t="inlineStr">
        <is>
          <t>崎</t>
        </is>
      </c>
      <c r="D843" t="inlineStr"/>
      <c r="E843" t="inlineStr"/>
      <c r="F843" t="inlineStr">
        <is>
          <t>正保琉球国八山島絵図</t>
        </is>
      </c>
      <c r="G843" t="inlineStr"/>
      <c r="H843" t="inlineStr"/>
      <c r="I843" t="inlineStr">
        <is>
          <t>135</t>
        </is>
      </c>
      <c r="J843" t="inlineStr"/>
      <c r="K843" t="inlineStr"/>
      <c r="L843" s="1">
        <f>HYPERLINK("https://www.hi.u-tokyo.ac.jp/collection/degitalgallary/ryukyu/item/30190", "https://www.hi.u-tokyo.ac.jp/collection/degitalgallary/ryukyu/item/30190")</f>
        <v/>
      </c>
    </row>
    <row r="844">
      <c r="A844" t="inlineStr">
        <is>
          <t>30191</t>
        </is>
      </c>
      <c r="B844" t="inlineStr">
        <is>
          <t>歩渡り</t>
        </is>
      </c>
      <c r="C844" t="inlineStr">
        <is>
          <t>渡河点</t>
        </is>
      </c>
      <c r="D844" t="inlineStr"/>
      <c r="E844" t="inlineStr"/>
      <c r="F844" t="inlineStr">
        <is>
          <t>正保琉球国八山島絵図</t>
        </is>
      </c>
      <c r="G844" t="inlineStr"/>
      <c r="H844" t="inlineStr"/>
      <c r="I844" t="inlineStr">
        <is>
          <t>136</t>
        </is>
      </c>
      <c r="J844" t="inlineStr"/>
      <c r="K844" t="inlineStr"/>
      <c r="L844" s="1">
        <f>HYPERLINK("https://www.hi.u-tokyo.ac.jp/collection/degitalgallary/ryukyu/item/30191", "https://www.hi.u-tokyo.ac.jp/collection/degitalgallary/ryukyu/item/30191")</f>
        <v/>
      </c>
    </row>
    <row r="845">
      <c r="A845" t="inlineStr">
        <is>
          <t>30192</t>
        </is>
      </c>
      <c r="B845" t="inlineStr">
        <is>
          <t>たら瀬崎</t>
        </is>
      </c>
      <c r="C845" t="inlineStr">
        <is>
          <t>崎</t>
        </is>
      </c>
      <c r="D845" t="inlineStr">
        <is>
          <t>24.364615</t>
        </is>
      </c>
      <c r="E845" t="inlineStr">
        <is>
          <t>123.938925</t>
        </is>
      </c>
      <c r="F845" t="inlineStr">
        <is>
          <t>正保琉球国八山島絵図</t>
        </is>
      </c>
      <c r="G845" t="inlineStr"/>
      <c r="H845" t="inlineStr"/>
      <c r="I845" t="inlineStr">
        <is>
          <t>137</t>
        </is>
      </c>
      <c r="J845" t="inlineStr"/>
      <c r="K845" t="inlineStr">
        <is>
          <t>沖縄県八重山郡竹富町高那</t>
        </is>
      </c>
      <c r="L845" s="1">
        <f>HYPERLINK("https://www.hi.u-tokyo.ac.jp/collection/degitalgallary/ryukyu/item/30192", "https://www.hi.u-tokyo.ac.jp/collection/degitalgallary/ryukyu/item/30192")</f>
        <v/>
      </c>
    </row>
    <row r="846">
      <c r="A846" t="inlineStr">
        <is>
          <t>30193</t>
        </is>
      </c>
      <c r="B846" t="inlineStr">
        <is>
          <t>かきら崎</t>
        </is>
      </c>
      <c r="C846" t="inlineStr">
        <is>
          <t>崎</t>
        </is>
      </c>
      <c r="D846" t="inlineStr">
        <is>
          <t>24.316335</t>
        </is>
      </c>
      <c r="E846" t="inlineStr">
        <is>
          <t>123.926952</t>
        </is>
      </c>
      <c r="F846" t="inlineStr">
        <is>
          <t>正保琉球国八山島絵図</t>
        </is>
      </c>
      <c r="G846" t="inlineStr"/>
      <c r="H846" t="inlineStr"/>
      <c r="I846" t="inlineStr">
        <is>
          <t>138</t>
        </is>
      </c>
      <c r="J846" t="inlineStr"/>
      <c r="K846" t="inlineStr">
        <is>
          <t>沖縄県八重山郡竹富町古見</t>
        </is>
      </c>
      <c r="L846" s="1">
        <f>HYPERLINK("https://www.hi.u-tokyo.ac.jp/collection/degitalgallary/ryukyu/item/30193", "https://www.hi.u-tokyo.ac.jp/collection/degitalgallary/ryukyu/item/30193")</f>
        <v/>
      </c>
    </row>
    <row r="847">
      <c r="A847" t="inlineStr">
        <is>
          <t>30194</t>
        </is>
      </c>
      <c r="B847" t="inlineStr">
        <is>
          <t>船繋不成</t>
        </is>
      </c>
      <c r="C847" t="inlineStr">
        <is>
          <t>港湾</t>
        </is>
      </c>
      <c r="D847" t="inlineStr"/>
      <c r="E847" t="inlineStr"/>
      <c r="F847" t="inlineStr">
        <is>
          <t>正保琉球国八山島絵図</t>
        </is>
      </c>
      <c r="G847" t="inlineStr"/>
      <c r="H847" t="inlineStr"/>
      <c r="I847" t="inlineStr">
        <is>
          <t>139</t>
        </is>
      </c>
      <c r="J847" t="inlineStr"/>
      <c r="K847" t="inlineStr"/>
      <c r="L847" s="1">
        <f>HYPERLINK("https://www.hi.u-tokyo.ac.jp/collection/degitalgallary/ryukyu/item/30194", "https://www.hi.u-tokyo.ac.jp/collection/degitalgallary/ryukyu/item/30194")</f>
        <v/>
      </c>
    </row>
    <row r="848">
      <c r="A848" t="inlineStr">
        <is>
          <t>30195</t>
        </is>
      </c>
      <c r="B848" t="inlineStr">
        <is>
          <t>歩渡り</t>
        </is>
      </c>
      <c r="C848" t="inlineStr">
        <is>
          <t>渡河点</t>
        </is>
      </c>
      <c r="D848" t="inlineStr">
        <is>
          <t>24.3231678</t>
        </is>
      </c>
      <c r="E848" t="inlineStr">
        <is>
          <t>123.9106167</t>
        </is>
      </c>
      <c r="F848" t="inlineStr">
        <is>
          <t>正保琉球国八山島絵図</t>
        </is>
      </c>
      <c r="G848" t="inlineStr"/>
      <c r="H848" t="inlineStr"/>
      <c r="I848" t="inlineStr">
        <is>
          <t>140</t>
        </is>
      </c>
      <c r="J848" t="inlineStr"/>
      <c r="K848" t="inlineStr">
        <is>
          <t>沖縄県八重山郡竹富町古見</t>
        </is>
      </c>
      <c r="L848" s="1">
        <f>HYPERLINK("https://www.hi.u-tokyo.ac.jp/collection/degitalgallary/ryukyu/item/30195", "https://www.hi.u-tokyo.ac.jp/collection/degitalgallary/ryukyu/item/30195")</f>
        <v/>
      </c>
    </row>
    <row r="849">
      <c r="A849" t="inlineStr">
        <is>
          <t>30196</t>
        </is>
      </c>
      <c r="B849" t="inlineStr">
        <is>
          <t>歩渡り</t>
        </is>
      </c>
      <c r="C849" t="inlineStr">
        <is>
          <t>渡河点</t>
        </is>
      </c>
      <c r="D849" t="inlineStr">
        <is>
          <t>24.3135376</t>
        </is>
      </c>
      <c r="E849" t="inlineStr">
        <is>
          <t>123.9063429</t>
        </is>
      </c>
      <c r="F849" t="inlineStr">
        <is>
          <t>正保琉球国八山島絵図</t>
        </is>
      </c>
      <c r="G849" t="inlineStr"/>
      <c r="H849" t="inlineStr"/>
      <c r="I849" t="inlineStr">
        <is>
          <t>141</t>
        </is>
      </c>
      <c r="J849" t="inlineStr"/>
      <c r="K849" t="inlineStr">
        <is>
          <t>沖縄県八重山郡竹富町古見</t>
        </is>
      </c>
      <c r="L849" s="1">
        <f>HYPERLINK("https://www.hi.u-tokyo.ac.jp/collection/degitalgallary/ryukyu/item/30196", "https://www.hi.u-tokyo.ac.jp/collection/degitalgallary/ryukyu/item/30196")</f>
        <v/>
      </c>
    </row>
    <row r="850">
      <c r="A850" t="inlineStr">
        <is>
          <t>30197</t>
        </is>
      </c>
      <c r="B850" t="inlineStr">
        <is>
          <t>此小見間切高之内弐百七拾四石相除</t>
        </is>
      </c>
      <c r="C850" t="inlineStr">
        <is>
          <t>付箋</t>
        </is>
      </c>
      <c r="D850" t="inlineStr"/>
      <c r="E850" t="inlineStr"/>
      <c r="F850" t="inlineStr">
        <is>
          <t>正保琉球国八山島絵図</t>
        </is>
      </c>
      <c r="G850" t="inlineStr">
        <is>
          <t>小浜嶋之高ニ相立也、但二重書故如此也</t>
        </is>
      </c>
      <c r="H850" t="inlineStr"/>
      <c r="I850" t="inlineStr">
        <is>
          <t>142</t>
        </is>
      </c>
      <c r="J850" t="inlineStr"/>
      <c r="K850" t="inlineStr"/>
      <c r="L850" s="1">
        <f>HYPERLINK("https://www.hi.u-tokyo.ac.jp/collection/degitalgallary/ryukyu/item/30197", "https://www.hi.u-tokyo.ac.jp/collection/degitalgallary/ryukyu/item/30197")</f>
        <v/>
      </c>
    </row>
    <row r="851">
      <c r="A851" t="inlineStr">
        <is>
          <t>30198</t>
        </is>
      </c>
      <c r="B851" t="inlineStr">
        <is>
          <t>ないせ崎</t>
        </is>
      </c>
      <c r="C851" t="inlineStr">
        <is>
          <t>崎</t>
        </is>
      </c>
      <c r="D851" t="inlineStr">
        <is>
          <t>24.274796</t>
        </is>
      </c>
      <c r="E851" t="inlineStr">
        <is>
          <t>123.901739</t>
        </is>
      </c>
      <c r="F851" t="inlineStr">
        <is>
          <t>正保琉球国八山島絵図</t>
        </is>
      </c>
      <c r="G851" t="inlineStr"/>
      <c r="H851" t="inlineStr"/>
      <c r="I851" t="inlineStr">
        <is>
          <t>143</t>
        </is>
      </c>
      <c r="J851" t="inlineStr"/>
      <c r="K851" t="inlineStr">
        <is>
          <t>沖縄県八重山郡竹富町南風見仲</t>
        </is>
      </c>
      <c r="L851" s="1">
        <f>HYPERLINK("https://www.hi.u-tokyo.ac.jp/collection/degitalgallary/ryukyu/item/30198", "https://www.hi.u-tokyo.ac.jp/collection/degitalgallary/ryukyu/item/30198")</f>
        <v/>
      </c>
    </row>
    <row r="852">
      <c r="A852" t="inlineStr">
        <is>
          <t>30199</t>
        </is>
      </c>
      <c r="B852" t="inlineStr">
        <is>
          <t>此間船渡一町</t>
        </is>
      </c>
      <c r="C852" t="inlineStr">
        <is>
          <t>その他</t>
        </is>
      </c>
      <c r="D852" t="inlineStr"/>
      <c r="E852" t="inlineStr"/>
      <c r="F852" t="inlineStr">
        <is>
          <t>正保琉球国八山島絵図</t>
        </is>
      </c>
      <c r="G852" t="inlineStr"/>
      <c r="H852" t="inlineStr"/>
      <c r="I852" t="inlineStr">
        <is>
          <t>144</t>
        </is>
      </c>
      <c r="J852" t="inlineStr"/>
      <c r="K852" t="inlineStr"/>
      <c r="L852" s="1">
        <f>HYPERLINK("https://www.hi.u-tokyo.ac.jp/collection/degitalgallary/ryukyu/item/30199", "https://www.hi.u-tokyo.ac.jp/collection/degitalgallary/ryukyu/item/30199")</f>
        <v/>
      </c>
    </row>
    <row r="853">
      <c r="A853" t="inlineStr">
        <is>
          <t>30200</t>
        </is>
      </c>
      <c r="B853" t="inlineStr">
        <is>
          <t>崎枝崎</t>
        </is>
      </c>
      <c r="C853" t="inlineStr">
        <is>
          <t>崎</t>
        </is>
      </c>
      <c r="D853" t="inlineStr">
        <is>
          <t>24.2569468</t>
        </is>
      </c>
      <c r="E853" t="inlineStr">
        <is>
          <t>123.8795777</t>
        </is>
      </c>
      <c r="F853" t="inlineStr">
        <is>
          <t>正保琉球国八山島絵図</t>
        </is>
      </c>
      <c r="G853" t="inlineStr"/>
      <c r="H853" t="inlineStr"/>
      <c r="I853" t="inlineStr">
        <is>
          <t>145</t>
        </is>
      </c>
      <c r="J853" t="inlineStr"/>
      <c r="K853" t="inlineStr">
        <is>
          <t>沖縄県八重山郡竹富町南風見</t>
        </is>
      </c>
      <c r="L853" s="1">
        <f>HYPERLINK("https://www.hi.u-tokyo.ac.jp/collection/degitalgallary/ryukyu/item/30200", "https://www.hi.u-tokyo.ac.jp/collection/degitalgallary/ryukyu/item/30200")</f>
        <v/>
      </c>
    </row>
    <row r="854">
      <c r="A854" t="inlineStr">
        <is>
          <t>30201</t>
        </is>
      </c>
      <c r="B854" t="inlineStr">
        <is>
          <t>はへめ崎</t>
        </is>
      </c>
      <c r="C854" t="inlineStr">
        <is>
          <t>崎</t>
        </is>
      </c>
      <c r="D854" t="inlineStr">
        <is>
          <t>24.2723326</t>
        </is>
      </c>
      <c r="E854" t="inlineStr">
        <is>
          <t>123.8306272</t>
        </is>
      </c>
      <c r="F854" t="inlineStr">
        <is>
          <t>正保琉球国八山島絵図</t>
        </is>
      </c>
      <c r="G854" t="inlineStr"/>
      <c r="H854" t="inlineStr"/>
      <c r="I854" t="inlineStr">
        <is>
          <t>146</t>
        </is>
      </c>
      <c r="J854" t="inlineStr"/>
      <c r="K854" t="inlineStr">
        <is>
          <t>沖縄県八重山郡竹富町南風見</t>
        </is>
      </c>
      <c r="L854" s="1">
        <f>HYPERLINK("https://www.hi.u-tokyo.ac.jp/collection/degitalgallary/ryukyu/item/30201", "https://www.hi.u-tokyo.ac.jp/collection/degitalgallary/ryukyu/item/30201")</f>
        <v/>
      </c>
    </row>
    <row r="855">
      <c r="A855" t="inlineStr">
        <is>
          <t>30202</t>
        </is>
      </c>
      <c r="B855" t="inlineStr">
        <is>
          <t>大野崎</t>
        </is>
      </c>
      <c r="C855" t="inlineStr">
        <is>
          <t>崎</t>
        </is>
      </c>
      <c r="D855" t="inlineStr"/>
      <c r="E855" t="inlineStr"/>
      <c r="F855" t="inlineStr">
        <is>
          <t>正保琉球国八山島絵図</t>
        </is>
      </c>
      <c r="G855" t="inlineStr"/>
      <c r="H855" t="inlineStr"/>
      <c r="I855" t="inlineStr">
        <is>
          <t>147</t>
        </is>
      </c>
      <c r="J855" t="inlineStr"/>
      <c r="K855" t="inlineStr"/>
      <c r="L855" s="1">
        <f>HYPERLINK("https://www.hi.u-tokyo.ac.jp/collection/degitalgallary/ryukyu/item/30202", "https://www.hi.u-tokyo.ac.jp/collection/degitalgallary/ryukyu/item/30202")</f>
        <v/>
      </c>
    </row>
    <row r="856">
      <c r="A856" t="inlineStr">
        <is>
          <t>30203</t>
        </is>
      </c>
      <c r="B856" t="inlineStr">
        <is>
          <t>入表間切よりはへめ崎迄、九里卅壱町</t>
        </is>
      </c>
      <c r="C856" t="inlineStr">
        <is>
          <t>陸路</t>
        </is>
      </c>
      <c r="D856" t="inlineStr"/>
      <c r="E856" t="inlineStr"/>
      <c r="F856" t="inlineStr">
        <is>
          <t>正保琉球国八山島絵図</t>
        </is>
      </c>
      <c r="G856" t="inlineStr"/>
      <c r="H856" t="inlineStr"/>
      <c r="I856" t="inlineStr">
        <is>
          <t>148</t>
        </is>
      </c>
      <c r="J856" t="inlineStr"/>
      <c r="K856" t="inlineStr"/>
      <c r="L856" s="1">
        <f>HYPERLINK("https://www.hi.u-tokyo.ac.jp/collection/degitalgallary/ryukyu/item/30203", "https://www.hi.u-tokyo.ac.jp/collection/degitalgallary/ryukyu/item/30203")</f>
        <v/>
      </c>
    </row>
    <row r="857">
      <c r="A857" t="inlineStr">
        <is>
          <t>30204</t>
        </is>
      </c>
      <c r="B857" t="inlineStr">
        <is>
          <t>歩渡り</t>
        </is>
      </c>
      <c r="C857" t="inlineStr">
        <is>
          <t>渡河点</t>
        </is>
      </c>
      <c r="D857" t="inlineStr"/>
      <c r="E857" t="inlineStr"/>
      <c r="F857" t="inlineStr">
        <is>
          <t>正保琉球国八山島絵図</t>
        </is>
      </c>
      <c r="G857" t="inlineStr"/>
      <c r="H857" t="inlineStr"/>
      <c r="I857" t="inlineStr">
        <is>
          <t>149</t>
        </is>
      </c>
      <c r="J857" t="inlineStr"/>
      <c r="K857" t="inlineStr"/>
      <c r="L857" s="1">
        <f>HYPERLINK("https://www.hi.u-tokyo.ac.jp/collection/degitalgallary/ryukyu/item/30204", "https://www.hi.u-tokyo.ac.jp/collection/degitalgallary/ryukyu/item/30204")</f>
        <v/>
      </c>
    </row>
    <row r="858">
      <c r="A858" t="inlineStr">
        <is>
          <t>30205</t>
        </is>
      </c>
      <c r="B858" t="inlineStr">
        <is>
          <t>歩渡り</t>
        </is>
      </c>
      <c r="C858" t="inlineStr">
        <is>
          <t>渡河点</t>
        </is>
      </c>
      <c r="D858" t="inlineStr"/>
      <c r="E858" t="inlineStr"/>
      <c r="F858" t="inlineStr">
        <is>
          <t>正保琉球国八山島絵図</t>
        </is>
      </c>
      <c r="G858" t="inlineStr"/>
      <c r="H858" t="inlineStr"/>
      <c r="I858" t="inlineStr">
        <is>
          <t>150</t>
        </is>
      </c>
      <c r="J858" t="inlineStr"/>
      <c r="K858" t="inlineStr"/>
      <c r="L858" s="1">
        <f>HYPERLINK("https://www.hi.u-tokyo.ac.jp/collection/degitalgallary/ryukyu/item/30205", "https://www.hi.u-tokyo.ac.jp/collection/degitalgallary/ryukyu/item/30205")</f>
        <v/>
      </c>
    </row>
    <row r="859">
      <c r="A859" t="inlineStr">
        <is>
          <t>30206</t>
        </is>
      </c>
      <c r="B859" t="inlineStr">
        <is>
          <t>歩渡り</t>
        </is>
      </c>
      <c r="C859" t="inlineStr">
        <is>
          <t>渡河点</t>
        </is>
      </c>
      <c r="D859" t="inlineStr"/>
      <c r="E859" t="inlineStr"/>
      <c r="F859" t="inlineStr">
        <is>
          <t>正保琉球国八山島絵図</t>
        </is>
      </c>
      <c r="G859" t="inlineStr"/>
      <c r="H859" t="inlineStr"/>
      <c r="I859" t="inlineStr">
        <is>
          <t>151</t>
        </is>
      </c>
      <c r="J859" t="inlineStr"/>
      <c r="K859" t="inlineStr"/>
      <c r="L859" s="1">
        <f>HYPERLINK("https://www.hi.u-tokyo.ac.jp/collection/degitalgallary/ryukyu/item/30206", "https://www.hi.u-tokyo.ac.jp/collection/degitalgallary/ryukyu/item/30206")</f>
        <v/>
      </c>
    </row>
    <row r="860">
      <c r="A860" t="inlineStr">
        <is>
          <t>30207</t>
        </is>
      </c>
      <c r="B860" t="inlineStr">
        <is>
          <t>そなひ村</t>
        </is>
      </c>
      <c r="C860" t="inlineStr">
        <is>
          <t>その他</t>
        </is>
      </c>
      <c r="D860" t="inlineStr">
        <is>
          <t>24.3909469</t>
        </is>
      </c>
      <c r="E860" t="inlineStr">
        <is>
          <t>123.7477791</t>
        </is>
      </c>
      <c r="F860" t="inlineStr">
        <is>
          <t>正保琉球国八山島絵図</t>
        </is>
      </c>
      <c r="G860" t="inlineStr"/>
      <c r="H860" t="inlineStr"/>
      <c r="I860" t="inlineStr">
        <is>
          <t>152</t>
        </is>
      </c>
      <c r="J860" t="inlineStr"/>
      <c r="K860" t="inlineStr">
        <is>
          <t>沖縄県八重山郡竹富町西表</t>
        </is>
      </c>
      <c r="L860" s="1">
        <f>HYPERLINK("https://www.hi.u-tokyo.ac.jp/collection/degitalgallary/ryukyu/item/30207", "https://www.hi.u-tokyo.ac.jp/collection/degitalgallary/ryukyu/item/30207")</f>
        <v/>
      </c>
    </row>
    <row r="861">
      <c r="A861" t="inlineStr">
        <is>
          <t>30208</t>
        </is>
      </c>
      <c r="B861" t="inlineStr">
        <is>
          <t>船出入なし</t>
        </is>
      </c>
      <c r="C861" t="inlineStr">
        <is>
          <t>港湾</t>
        </is>
      </c>
      <c r="D861" t="inlineStr"/>
      <c r="E861" t="inlineStr"/>
      <c r="F861" t="inlineStr">
        <is>
          <t>正保琉球国八山島絵図</t>
        </is>
      </c>
      <c r="G861" t="inlineStr"/>
      <c r="H861" t="inlineStr"/>
      <c r="I861" t="inlineStr">
        <is>
          <t>153</t>
        </is>
      </c>
      <c r="J861" t="inlineStr"/>
      <c r="K861" t="inlineStr"/>
      <c r="L861" s="1">
        <f>HYPERLINK("https://www.hi.u-tokyo.ac.jp/collection/degitalgallary/ryukyu/item/30208", "https://www.hi.u-tokyo.ac.jp/collection/degitalgallary/ryukyu/item/30208")</f>
        <v/>
      </c>
    </row>
    <row r="862">
      <c r="A862" t="inlineStr">
        <is>
          <t>30209</t>
        </is>
      </c>
      <c r="B862" t="inlineStr">
        <is>
          <t>につま崎</t>
        </is>
      </c>
      <c r="C862" t="inlineStr">
        <is>
          <t>崎</t>
        </is>
      </c>
      <c r="D862" t="inlineStr"/>
      <c r="E862" t="inlineStr"/>
      <c r="F862" t="inlineStr">
        <is>
          <t>正保琉球国八山島絵図</t>
        </is>
      </c>
      <c r="G862" t="inlineStr"/>
      <c r="H862" t="inlineStr"/>
      <c r="I862" t="inlineStr">
        <is>
          <t>154</t>
        </is>
      </c>
      <c r="J862" t="inlineStr"/>
      <c r="K862" t="inlineStr"/>
      <c r="L862" s="1">
        <f>HYPERLINK("https://www.hi.u-tokyo.ac.jp/collection/degitalgallary/ryukyu/item/30209", "https://www.hi.u-tokyo.ac.jp/collection/degitalgallary/ryukyu/item/30209")</f>
        <v/>
      </c>
    </row>
    <row r="863">
      <c r="A863" t="inlineStr">
        <is>
          <t>30210</t>
        </is>
      </c>
      <c r="B863" t="inlineStr">
        <is>
          <t>おかみ崎</t>
        </is>
      </c>
      <c r="C863" t="inlineStr">
        <is>
          <t>崎</t>
        </is>
      </c>
      <c r="D863" t="inlineStr">
        <is>
          <t>24.4091733</t>
        </is>
      </c>
      <c r="E863" t="inlineStr">
        <is>
          <t>123.8116565</t>
        </is>
      </c>
      <c r="F863" t="inlineStr">
        <is>
          <t>正保琉球国八山島絵図</t>
        </is>
      </c>
      <c r="G863" t="inlineStr"/>
      <c r="H863" t="inlineStr"/>
      <c r="I863" t="inlineStr">
        <is>
          <t>155</t>
        </is>
      </c>
      <c r="J863" t="inlineStr"/>
      <c r="K863" t="inlineStr">
        <is>
          <t>沖縄県八重山郡竹富町上原</t>
        </is>
      </c>
      <c r="L863" s="1">
        <f>HYPERLINK("https://www.hi.u-tokyo.ac.jp/collection/degitalgallary/ryukyu/item/30210", "https://www.hi.u-tokyo.ac.jp/collection/degitalgallary/ryukyu/item/30210")</f>
        <v/>
      </c>
    </row>
    <row r="864">
      <c r="A864" t="inlineStr">
        <is>
          <t>30211</t>
        </is>
      </c>
      <c r="B864" t="inlineStr">
        <is>
          <t>おない崎</t>
        </is>
      </c>
      <c r="C864" t="inlineStr">
        <is>
          <t>崎</t>
        </is>
      </c>
      <c r="D864" t="inlineStr"/>
      <c r="E864" t="inlineStr"/>
      <c r="F864" t="inlineStr">
        <is>
          <t>正保琉球国八山島絵図</t>
        </is>
      </c>
      <c r="G864" t="inlineStr"/>
      <c r="H864" t="inlineStr"/>
      <c r="I864" t="inlineStr">
        <is>
          <t>156</t>
        </is>
      </c>
      <c r="J864" t="inlineStr"/>
      <c r="K864" t="inlineStr"/>
      <c r="L864" s="1">
        <f>HYPERLINK("https://www.hi.u-tokyo.ac.jp/collection/degitalgallary/ryukyu/item/30211", "https://www.hi.u-tokyo.ac.jp/collection/degitalgallary/ryukyu/item/30211")</f>
        <v/>
      </c>
    </row>
    <row r="865">
      <c r="A865" t="inlineStr">
        <is>
          <t>30212</t>
        </is>
      </c>
      <c r="B865" t="inlineStr">
        <is>
          <t>おかみ崎</t>
        </is>
      </c>
      <c r="C865" t="inlineStr">
        <is>
          <t>崎</t>
        </is>
      </c>
      <c r="D865" t="inlineStr">
        <is>
          <t>24.425246</t>
        </is>
      </c>
      <c r="E865" t="inlineStr">
        <is>
          <t>123.765583</t>
        </is>
      </c>
      <c r="F865" t="inlineStr">
        <is>
          <t>正保琉球国八山島絵図</t>
        </is>
      </c>
      <c r="G865" t="inlineStr"/>
      <c r="H865" t="inlineStr"/>
      <c r="I865" t="inlineStr">
        <is>
          <t>157</t>
        </is>
      </c>
      <c r="J865" t="inlineStr"/>
      <c r="K865" t="inlineStr">
        <is>
          <t>沖縄県八重山郡竹富町上原</t>
        </is>
      </c>
      <c r="L865" s="1">
        <f>HYPERLINK("https://www.hi.u-tokyo.ac.jp/collection/degitalgallary/ryukyu/item/30212", "https://www.hi.u-tokyo.ac.jp/collection/degitalgallary/ryukyu/item/30212")</f>
        <v/>
      </c>
    </row>
    <row r="866">
      <c r="A866" t="inlineStr">
        <is>
          <t>30213</t>
        </is>
      </c>
      <c r="B866" t="inlineStr">
        <is>
          <t>船出入なし</t>
        </is>
      </c>
      <c r="C866" t="inlineStr">
        <is>
          <t>港湾</t>
        </is>
      </c>
      <c r="D866" t="inlineStr"/>
      <c r="E866" t="inlineStr"/>
      <c r="F866" t="inlineStr">
        <is>
          <t>正保琉球国八山島絵図</t>
        </is>
      </c>
      <c r="G866" t="inlineStr"/>
      <c r="H866" t="inlineStr"/>
      <c r="I866" t="inlineStr">
        <is>
          <t>158</t>
        </is>
      </c>
      <c r="J866" t="inlineStr"/>
      <c r="K866" t="inlineStr"/>
      <c r="L866" s="1">
        <f>HYPERLINK("https://www.hi.u-tokyo.ac.jp/collection/degitalgallary/ryukyu/item/30213", "https://www.hi.u-tokyo.ac.jp/collection/degitalgallary/ryukyu/item/30213")</f>
        <v/>
      </c>
    </row>
    <row r="867">
      <c r="A867" t="inlineStr">
        <is>
          <t>30214</t>
        </is>
      </c>
      <c r="B867" t="inlineStr">
        <is>
          <t>いめ城崎</t>
        </is>
      </c>
      <c r="C867" t="inlineStr">
        <is>
          <t>崎</t>
        </is>
      </c>
      <c r="D867" t="inlineStr">
        <is>
          <t>24.4015194</t>
        </is>
      </c>
      <c r="E867" t="inlineStr">
        <is>
          <t>123.7512687</t>
        </is>
      </c>
      <c r="F867" t="inlineStr">
        <is>
          <t>正保琉球国八山島絵図</t>
        </is>
      </c>
      <c r="G867" t="inlineStr"/>
      <c r="H867" t="inlineStr"/>
      <c r="I867" t="inlineStr">
        <is>
          <t>159</t>
        </is>
      </c>
      <c r="J867" t="inlineStr"/>
      <c r="K867" t="inlineStr">
        <is>
          <t>沖縄県八重山郡竹富町西表</t>
        </is>
      </c>
      <c r="L867" s="1">
        <f>HYPERLINK("https://www.hi.u-tokyo.ac.jp/collection/degitalgallary/ryukyu/item/30214", "https://www.hi.u-tokyo.ac.jp/collection/degitalgallary/ryukyu/item/30214")</f>
        <v/>
      </c>
    </row>
    <row r="868">
      <c r="A868" t="inlineStr">
        <is>
          <t>30215</t>
        </is>
      </c>
      <c r="B868" t="inlineStr">
        <is>
          <t>船繋り不成</t>
        </is>
      </c>
      <c r="C868" t="inlineStr">
        <is>
          <t>港湾</t>
        </is>
      </c>
      <c r="D868" t="inlineStr"/>
      <c r="E868" t="inlineStr"/>
      <c r="F868" t="inlineStr">
        <is>
          <t>正保琉球国八山島絵図</t>
        </is>
      </c>
      <c r="G868" t="inlineStr"/>
      <c r="H868" t="inlineStr"/>
      <c r="I868" t="inlineStr">
        <is>
          <t>160</t>
        </is>
      </c>
      <c r="J868" t="inlineStr"/>
      <c r="K868" t="inlineStr"/>
      <c r="L868" s="1">
        <f>HYPERLINK("https://www.hi.u-tokyo.ac.jp/collection/degitalgallary/ryukyu/item/30215", "https://www.hi.u-tokyo.ac.jp/collection/degitalgallary/ryukyu/item/30215")</f>
        <v/>
      </c>
    </row>
    <row r="869">
      <c r="A869" t="inlineStr">
        <is>
          <t>30216</t>
        </is>
      </c>
      <c r="B869" t="inlineStr">
        <is>
          <t>大とう崎</t>
        </is>
      </c>
      <c r="C869" t="inlineStr">
        <is>
          <t>崎</t>
        </is>
      </c>
      <c r="D869" t="inlineStr"/>
      <c r="E869" t="inlineStr"/>
      <c r="F869" t="inlineStr">
        <is>
          <t>正保琉球国八山島絵図</t>
        </is>
      </c>
      <c r="G869" t="inlineStr"/>
      <c r="H869" t="inlineStr"/>
      <c r="I869" t="inlineStr">
        <is>
          <t>161</t>
        </is>
      </c>
      <c r="J869" t="inlineStr"/>
      <c r="K869" t="inlineStr"/>
      <c r="L869" s="1">
        <f>HYPERLINK("https://www.hi.u-tokyo.ac.jp/collection/degitalgallary/ryukyu/item/30216", "https://www.hi.u-tokyo.ac.jp/collection/degitalgallary/ryukyu/item/30216")</f>
        <v/>
      </c>
    </row>
    <row r="870">
      <c r="A870" t="inlineStr">
        <is>
          <t>30217</t>
        </is>
      </c>
      <c r="B870" t="inlineStr">
        <is>
          <t>此ひせ船通り場八町、深サ三十四尋</t>
        </is>
      </c>
      <c r="C870" t="inlineStr">
        <is>
          <t>港湾</t>
        </is>
      </c>
      <c r="D870" t="inlineStr"/>
      <c r="E870" t="inlineStr"/>
      <c r="F870" t="inlineStr">
        <is>
          <t>正保琉球国八山島絵図</t>
        </is>
      </c>
      <c r="G870" t="inlineStr">
        <is>
          <t>船出入不自由</t>
        </is>
      </c>
      <c r="H870" t="inlineStr"/>
      <c r="I870" t="inlineStr">
        <is>
          <t>162</t>
        </is>
      </c>
      <c r="J870" t="inlineStr"/>
      <c r="K870" t="inlineStr"/>
      <c r="L870" s="1">
        <f>HYPERLINK("https://www.hi.u-tokyo.ac.jp/collection/degitalgallary/ryukyu/item/30217", "https://www.hi.u-tokyo.ac.jp/collection/degitalgallary/ryukyu/item/30217")</f>
        <v/>
      </c>
    </row>
    <row r="871">
      <c r="A871" t="inlineStr">
        <is>
          <t>30218</t>
        </is>
      </c>
      <c r="B871" t="inlineStr">
        <is>
          <t>外離嶋</t>
        </is>
      </c>
      <c r="C871" t="inlineStr">
        <is>
          <t>島</t>
        </is>
      </c>
      <c r="D871" t="inlineStr">
        <is>
          <t>24.3726358</t>
        </is>
      </c>
      <c r="E871" t="inlineStr">
        <is>
          <t>123.7168441</t>
        </is>
      </c>
      <c r="F871" t="inlineStr">
        <is>
          <t>正保琉球国八山島絵図</t>
        </is>
      </c>
      <c r="G871" t="inlineStr">
        <is>
          <t>人居なし</t>
        </is>
      </c>
      <c r="H871" t="inlineStr"/>
      <c r="I871" t="inlineStr">
        <is>
          <t>163</t>
        </is>
      </c>
      <c r="J871" t="inlineStr"/>
      <c r="K871" t="inlineStr">
        <is>
          <t>沖縄県八重山郡竹富町西表</t>
        </is>
      </c>
      <c r="L871" s="1">
        <f>HYPERLINK("https://www.hi.u-tokyo.ac.jp/collection/degitalgallary/ryukyu/item/30218", "https://www.hi.u-tokyo.ac.jp/collection/degitalgallary/ryukyu/item/30218")</f>
        <v/>
      </c>
    </row>
    <row r="872">
      <c r="A872" t="inlineStr">
        <is>
          <t>30219</t>
        </is>
      </c>
      <c r="B872" t="inlineStr">
        <is>
          <t>此間十四町</t>
        </is>
      </c>
      <c r="C872" t="inlineStr">
        <is>
          <t>その他</t>
        </is>
      </c>
      <c r="D872" t="inlineStr"/>
      <c r="E872" t="inlineStr"/>
      <c r="F872" t="inlineStr">
        <is>
          <t>正保琉球国八山島絵図</t>
        </is>
      </c>
      <c r="G872" t="inlineStr"/>
      <c r="H872" t="inlineStr"/>
      <c r="I872" t="inlineStr">
        <is>
          <t>164</t>
        </is>
      </c>
      <c r="J872" t="inlineStr"/>
      <c r="K872" t="inlineStr"/>
      <c r="L872" s="1">
        <f>HYPERLINK("https://www.hi.u-tokyo.ac.jp/collection/degitalgallary/ryukyu/item/30219", "https://www.hi.u-tokyo.ac.jp/collection/degitalgallary/ryukyu/item/30219")</f>
        <v/>
      </c>
    </row>
    <row r="873">
      <c r="A873" t="inlineStr">
        <is>
          <t>30220</t>
        </is>
      </c>
      <c r="B873" t="inlineStr">
        <is>
          <t>野城崎</t>
        </is>
      </c>
      <c r="C873" t="inlineStr">
        <is>
          <t>崎</t>
        </is>
      </c>
      <c r="D873" t="inlineStr">
        <is>
          <t>24.3766014</t>
        </is>
      </c>
      <c r="E873" t="inlineStr">
        <is>
          <t>123.7279496</t>
        </is>
      </c>
      <c r="F873" t="inlineStr">
        <is>
          <t>正保琉球国八山島絵図</t>
        </is>
      </c>
      <c r="G873" t="inlineStr"/>
      <c r="H873" t="inlineStr"/>
      <c r="I873" t="inlineStr">
        <is>
          <t>165</t>
        </is>
      </c>
      <c r="J873" t="inlineStr"/>
      <c r="K873" t="inlineStr">
        <is>
          <t>沖縄県八重山郡竹富町西表</t>
        </is>
      </c>
      <c r="L873" s="1">
        <f>HYPERLINK("https://www.hi.u-tokyo.ac.jp/collection/degitalgallary/ryukyu/item/30220", "https://www.hi.u-tokyo.ac.jp/collection/degitalgallary/ryukyu/item/30220")</f>
        <v/>
      </c>
    </row>
    <row r="874">
      <c r="A874" t="inlineStr">
        <is>
          <t>30221</t>
        </is>
      </c>
      <c r="B874" t="inlineStr">
        <is>
          <t>此外はなれ船かゝり場、広サ六町
深サ八尋、入四町、大船十四五艘程
かゝる何風にても船繋自由</t>
        </is>
      </c>
      <c r="C874" t="inlineStr">
        <is>
          <t>港湾</t>
        </is>
      </c>
      <c r="D874" t="inlineStr">
        <is>
          <t>24.3726119</t>
        </is>
      </c>
      <c r="E874" t="inlineStr">
        <is>
          <t>123.7202264</t>
        </is>
      </c>
      <c r="F874" t="inlineStr">
        <is>
          <t>正保琉球国八山島絵図</t>
        </is>
      </c>
      <c r="G874" t="inlineStr"/>
      <c r="H874" t="inlineStr"/>
      <c r="I874" t="inlineStr">
        <is>
          <t>166</t>
        </is>
      </c>
      <c r="J874" t="inlineStr"/>
      <c r="K874" t="inlineStr">
        <is>
          <t>沖縄県八重山郡竹富町西表</t>
        </is>
      </c>
      <c r="L874" s="1">
        <f>HYPERLINK("https://www.hi.u-tokyo.ac.jp/collection/degitalgallary/ryukyu/item/30221", "https://www.hi.u-tokyo.ac.jp/collection/degitalgallary/ryukyu/item/30221")</f>
        <v/>
      </c>
    </row>
    <row r="875">
      <c r="A875" t="inlineStr">
        <is>
          <t>30222</t>
        </is>
      </c>
      <c r="B875" t="inlineStr">
        <is>
          <t>内離嶋</t>
        </is>
      </c>
      <c r="C875" t="inlineStr">
        <is>
          <t>島</t>
        </is>
      </c>
      <c r="D875" t="inlineStr">
        <is>
          <t>24.3530168</t>
        </is>
      </c>
      <c r="E875" t="inlineStr">
        <is>
          <t>123.7378026</t>
        </is>
      </c>
      <c r="F875" t="inlineStr">
        <is>
          <t>正保琉球国八山島絵図</t>
        </is>
      </c>
      <c r="G875" t="inlineStr">
        <is>
          <t>人居無し</t>
        </is>
      </c>
      <c r="H875" t="inlineStr"/>
      <c r="I875" t="inlineStr">
        <is>
          <t>167</t>
        </is>
      </c>
      <c r="J875" t="inlineStr"/>
      <c r="K875" t="inlineStr">
        <is>
          <t>沖縄県八重山郡竹富町西表</t>
        </is>
      </c>
      <c r="L875" s="1">
        <f>HYPERLINK("https://www.hi.u-tokyo.ac.jp/collection/degitalgallary/ryukyu/item/30222", "https://www.hi.u-tokyo.ac.jp/collection/degitalgallary/ryukyu/item/30222")</f>
        <v/>
      </c>
    </row>
    <row r="876">
      <c r="A876" t="inlineStr">
        <is>
          <t>30223</t>
        </is>
      </c>
      <c r="B876" t="inlineStr">
        <is>
          <t>船出入なし</t>
        </is>
      </c>
      <c r="C876" t="inlineStr">
        <is>
          <t>港湾</t>
        </is>
      </c>
      <c r="D876" t="inlineStr"/>
      <c r="E876" t="inlineStr"/>
      <c r="F876" t="inlineStr">
        <is>
          <t>正保琉球国八山島絵図</t>
        </is>
      </c>
      <c r="G876" t="inlineStr"/>
      <c r="H876" t="inlineStr"/>
      <c r="I876" t="inlineStr">
        <is>
          <t>168</t>
        </is>
      </c>
      <c r="J876" t="inlineStr"/>
      <c r="K876" t="inlineStr"/>
      <c r="L876" s="1">
        <f>HYPERLINK("https://www.hi.u-tokyo.ac.jp/collection/degitalgallary/ryukyu/item/30223", "https://www.hi.u-tokyo.ac.jp/collection/degitalgallary/ryukyu/item/30223")</f>
        <v/>
      </c>
    </row>
    <row r="877">
      <c r="A877" t="inlineStr">
        <is>
          <t>30224</t>
        </is>
      </c>
      <c r="B877" t="inlineStr">
        <is>
          <t>さは崎</t>
        </is>
      </c>
      <c r="C877" t="inlineStr">
        <is>
          <t>崎</t>
        </is>
      </c>
      <c r="D877" t="inlineStr">
        <is>
          <t>24.349741</t>
        </is>
      </c>
      <c r="E877" t="inlineStr">
        <is>
          <t>123.703696</t>
        </is>
      </c>
      <c r="F877" t="inlineStr">
        <is>
          <t>正保琉球国八山島絵図</t>
        </is>
      </c>
      <c r="G877" t="inlineStr"/>
      <c r="H877" t="inlineStr"/>
      <c r="I877" t="inlineStr">
        <is>
          <t>169</t>
        </is>
      </c>
      <c r="J877" t="inlineStr"/>
      <c r="K877" t="inlineStr">
        <is>
          <t>沖縄県八重山郡竹富町西表</t>
        </is>
      </c>
      <c r="L877" s="1">
        <f>HYPERLINK("https://www.hi.u-tokyo.ac.jp/collection/degitalgallary/ryukyu/item/30224", "https://www.hi.u-tokyo.ac.jp/collection/degitalgallary/ryukyu/item/30224")</f>
        <v/>
      </c>
    </row>
    <row r="878">
      <c r="A878" t="inlineStr">
        <is>
          <t>30225</t>
        </is>
      </c>
      <c r="B878" t="inlineStr">
        <is>
          <t>船出入なし</t>
        </is>
      </c>
      <c r="C878" t="inlineStr">
        <is>
          <t>港湾</t>
        </is>
      </c>
      <c r="D878" t="inlineStr">
        <is>
          <t>24.3161562</t>
        </is>
      </c>
      <c r="E878" t="inlineStr">
        <is>
          <t>123.6774809</t>
        </is>
      </c>
      <c r="F878" t="inlineStr">
        <is>
          <t>正保琉球国八山島絵図</t>
        </is>
      </c>
      <c r="G878" t="inlineStr"/>
      <c r="H878" t="inlineStr"/>
      <c r="I878" t="inlineStr">
        <is>
          <t>170</t>
        </is>
      </c>
      <c r="J878" t="inlineStr"/>
      <c r="K878" t="inlineStr"/>
      <c r="L878" s="1">
        <f>HYPERLINK("https://www.hi.u-tokyo.ac.jp/collection/degitalgallary/ryukyu/item/30225", "https://www.hi.u-tokyo.ac.jp/collection/degitalgallary/ryukyu/item/30225")</f>
        <v/>
      </c>
    </row>
    <row r="879">
      <c r="A879" t="inlineStr">
        <is>
          <t>30226</t>
        </is>
      </c>
      <c r="B879" t="inlineStr">
        <is>
          <t>浜崎</t>
        </is>
      </c>
      <c r="C879" t="inlineStr">
        <is>
          <t>崎</t>
        </is>
      </c>
      <c r="D879" t="inlineStr"/>
      <c r="E879" t="inlineStr"/>
      <c r="F879" t="inlineStr">
        <is>
          <t>正保琉球国八山島絵図</t>
        </is>
      </c>
      <c r="G879" t="inlineStr"/>
      <c r="H879" t="inlineStr"/>
      <c r="I879" t="inlineStr">
        <is>
          <t>171</t>
        </is>
      </c>
      <c r="J879" t="inlineStr"/>
      <c r="K879" t="inlineStr"/>
      <c r="L879" s="1">
        <f>HYPERLINK("https://www.hi.u-tokyo.ac.jp/collection/degitalgallary/ryukyu/item/30226", "https://www.hi.u-tokyo.ac.jp/collection/degitalgallary/ryukyu/item/30226")</f>
        <v/>
      </c>
    </row>
    <row r="880">
      <c r="A880" t="inlineStr">
        <is>
          <t>30227</t>
        </is>
      </c>
      <c r="B880" t="inlineStr">
        <is>
          <t>船出入なし</t>
        </is>
      </c>
      <c r="C880" t="inlineStr">
        <is>
          <t>港湾</t>
        </is>
      </c>
      <c r="D880" t="inlineStr"/>
      <c r="E880" t="inlineStr"/>
      <c r="F880" t="inlineStr">
        <is>
          <t>正保琉球国八山島絵図</t>
        </is>
      </c>
      <c r="G880" t="inlineStr"/>
      <c r="H880" t="inlineStr"/>
      <c r="I880" t="inlineStr">
        <is>
          <t>172</t>
        </is>
      </c>
      <c r="J880" t="inlineStr"/>
      <c r="K880" t="inlineStr"/>
      <c r="L880" s="1">
        <f>HYPERLINK("https://www.hi.u-tokyo.ac.jp/collection/degitalgallary/ryukyu/item/30227", "https://www.hi.u-tokyo.ac.jp/collection/degitalgallary/ryukyu/item/30227")</f>
        <v/>
      </c>
    </row>
    <row r="881">
      <c r="A881" t="inlineStr">
        <is>
          <t>30228</t>
        </is>
      </c>
      <c r="B881" t="inlineStr">
        <is>
          <t>はへめ崎</t>
        </is>
      </c>
      <c r="C881" t="inlineStr">
        <is>
          <t>崎</t>
        </is>
      </c>
      <c r="D881" t="inlineStr">
        <is>
          <t>24.305343</t>
        </is>
      </c>
      <c r="E881" t="inlineStr">
        <is>
          <t>123.663688</t>
        </is>
      </c>
      <c r="F881" t="inlineStr">
        <is>
          <t>正保琉球国八山島絵図</t>
        </is>
      </c>
      <c r="G881" t="inlineStr"/>
      <c r="H881" t="inlineStr"/>
      <c r="I881" t="inlineStr">
        <is>
          <t>173</t>
        </is>
      </c>
      <c r="J881" t="inlineStr"/>
      <c r="K881" t="inlineStr">
        <is>
          <t>沖縄県八重山郡竹富町崎山</t>
        </is>
      </c>
      <c r="L881" s="1">
        <f>HYPERLINK("https://www.hi.u-tokyo.ac.jp/collection/degitalgallary/ryukyu/item/30228", "https://www.hi.u-tokyo.ac.jp/collection/degitalgallary/ryukyu/item/30228")</f>
        <v/>
      </c>
    </row>
    <row r="882">
      <c r="A882" t="inlineStr">
        <is>
          <t>30229</t>
        </is>
      </c>
      <c r="B882" t="inlineStr">
        <is>
          <t>おら水崎</t>
        </is>
      </c>
      <c r="C882" t="inlineStr">
        <is>
          <t>崎</t>
        </is>
      </c>
      <c r="D882" t="inlineStr">
        <is>
          <t>24.278461</t>
        </is>
      </c>
      <c r="E882" t="inlineStr">
        <is>
          <t>123.718791</t>
        </is>
      </c>
      <c r="F882" t="inlineStr">
        <is>
          <t>正保琉球国八山島絵図</t>
        </is>
      </c>
      <c r="G882" t="inlineStr"/>
      <c r="H882" t="inlineStr"/>
      <c r="I882" t="inlineStr">
        <is>
          <t>174</t>
        </is>
      </c>
      <c r="J882" t="inlineStr"/>
      <c r="K882" t="inlineStr">
        <is>
          <t>沖縄県八重山郡竹富町崎山</t>
        </is>
      </c>
      <c r="L882" s="1">
        <f>HYPERLINK("https://www.hi.u-tokyo.ac.jp/collection/degitalgallary/ryukyu/item/30229", "https://www.hi.u-tokyo.ac.jp/collection/degitalgallary/ryukyu/item/30229")</f>
        <v/>
      </c>
    </row>
    <row r="883">
      <c r="A883" t="inlineStr">
        <is>
          <t>30230</t>
        </is>
      </c>
      <c r="B883" t="inlineStr">
        <is>
          <t>入表嶋之内そなひ村より与那国嶋迄、海上四拾八里酉ノ方ニ当ル、此渡昼夜共潮東ヘ落ル</t>
        </is>
      </c>
      <c r="C883" t="inlineStr">
        <is>
          <t>航路</t>
        </is>
      </c>
      <c r="D883" t="inlineStr"/>
      <c r="E883" t="inlineStr"/>
      <c r="F883" t="inlineStr">
        <is>
          <t>正保琉球国八山島絵図</t>
        </is>
      </c>
      <c r="G883" t="inlineStr"/>
      <c r="H883" t="inlineStr"/>
      <c r="I883" t="inlineStr">
        <is>
          <t>175</t>
        </is>
      </c>
      <c r="J883" t="inlineStr"/>
      <c r="K883" t="inlineStr"/>
      <c r="L883" s="1">
        <f>HYPERLINK("https://www.hi.u-tokyo.ac.jp/collection/degitalgallary/ryukyu/item/30230", "https://www.hi.u-tokyo.ac.jp/collection/degitalgallary/ryukyu/item/30230")</f>
        <v/>
      </c>
    </row>
    <row r="884">
      <c r="A884" t="inlineStr">
        <is>
          <t>30231</t>
        </is>
      </c>
      <c r="B884" t="inlineStr">
        <is>
          <t>与那国嶋</t>
        </is>
      </c>
      <c r="C884" t="inlineStr">
        <is>
          <t>島</t>
        </is>
      </c>
      <c r="D884" t="inlineStr">
        <is>
          <t>24.4560321</t>
        </is>
      </c>
      <c r="E884" t="inlineStr">
        <is>
          <t>122.9944636</t>
        </is>
      </c>
      <c r="F884" t="inlineStr">
        <is>
          <t>正保琉球国八山島絵図</t>
        </is>
      </c>
      <c r="G884" t="inlineStr">
        <is>
          <t>入表嶋之内
嶋廻り五里十町</t>
        </is>
      </c>
      <c r="H884" t="inlineStr"/>
      <c r="I884" t="inlineStr">
        <is>
          <t>176</t>
        </is>
      </c>
      <c r="J884" t="inlineStr"/>
      <c r="K884" t="inlineStr">
        <is>
          <t>沖縄県八重山郡与那国町</t>
        </is>
      </c>
      <c r="L884" s="1">
        <f>HYPERLINK("https://www.hi.u-tokyo.ac.jp/collection/degitalgallary/ryukyu/item/30231", "https://www.hi.u-tokyo.ac.jp/collection/degitalgallary/ryukyu/item/30231")</f>
        <v/>
      </c>
    </row>
    <row r="885">
      <c r="A885" t="inlineStr">
        <is>
          <t>30232</t>
        </is>
      </c>
      <c r="B885" t="inlineStr">
        <is>
          <t>歩渡り</t>
        </is>
      </c>
      <c r="C885" t="inlineStr">
        <is>
          <t>渡河点</t>
        </is>
      </c>
      <c r="D885" t="inlineStr"/>
      <c r="E885" t="inlineStr"/>
      <c r="F885" t="inlineStr">
        <is>
          <t>正保琉球国八山島絵図</t>
        </is>
      </c>
      <c r="G885" t="inlineStr"/>
      <c r="H885" t="inlineStr"/>
      <c r="I885" t="inlineStr">
        <is>
          <t>177</t>
        </is>
      </c>
      <c r="J885" t="inlineStr"/>
      <c r="K885" t="inlineStr"/>
      <c r="L885" s="1">
        <f>HYPERLINK("https://www.hi.u-tokyo.ac.jp/collection/degitalgallary/ryukyu/item/30232", "https://www.hi.u-tokyo.ac.jp/collection/degitalgallary/ryukyu/item/30232")</f>
        <v/>
      </c>
    </row>
    <row r="886">
      <c r="A886" t="inlineStr">
        <is>
          <t>30233</t>
        </is>
      </c>
      <c r="B886" t="inlineStr">
        <is>
          <t>あかみ崎</t>
        </is>
      </c>
      <c r="C886" t="inlineStr">
        <is>
          <t>崎</t>
        </is>
      </c>
      <c r="D886" t="inlineStr">
        <is>
          <t>24.4623149</t>
        </is>
      </c>
      <c r="E886" t="inlineStr">
        <is>
          <t>123.0429482</t>
        </is>
      </c>
      <c r="F886" t="inlineStr">
        <is>
          <t>正保琉球国八山島絵図</t>
        </is>
      </c>
      <c r="G886" t="inlineStr"/>
      <c r="H886" t="inlineStr"/>
      <c r="I886" t="inlineStr">
        <is>
          <t>178</t>
        </is>
      </c>
      <c r="J886" t="inlineStr"/>
      <c r="K886" t="inlineStr">
        <is>
          <t>沖縄県八重山郡与那国町</t>
        </is>
      </c>
      <c r="L886" s="1">
        <f>HYPERLINK("https://www.hi.u-tokyo.ac.jp/collection/degitalgallary/ryukyu/item/30233", "https://www.hi.u-tokyo.ac.jp/collection/degitalgallary/ryukyu/item/30233")</f>
        <v/>
      </c>
    </row>
    <row r="887">
      <c r="A887" t="inlineStr">
        <is>
          <t>30234</t>
        </is>
      </c>
      <c r="B887" t="inlineStr">
        <is>
          <t>あたんはな崎</t>
        </is>
      </c>
      <c r="C887" t="inlineStr">
        <is>
          <t>崎</t>
        </is>
      </c>
      <c r="D887" t="inlineStr">
        <is>
          <t>24.4541475</t>
        </is>
      </c>
      <c r="E887" t="inlineStr">
        <is>
          <t>123.0327281</t>
        </is>
      </c>
      <c r="F887" t="inlineStr">
        <is>
          <t>正保琉球国八山島絵図</t>
        </is>
      </c>
      <c r="G887" t="inlineStr"/>
      <c r="H887" t="inlineStr"/>
      <c r="I887" t="inlineStr">
        <is>
          <t>179</t>
        </is>
      </c>
      <c r="J887" t="inlineStr"/>
      <c r="K887" t="inlineStr">
        <is>
          <t>沖縄県八重山郡与那国町</t>
        </is>
      </c>
      <c r="L887" s="1">
        <f>HYPERLINK("https://www.hi.u-tokyo.ac.jp/collection/degitalgallary/ryukyu/item/30234", "https://www.hi.u-tokyo.ac.jp/collection/degitalgallary/ryukyu/item/30234")</f>
        <v/>
      </c>
    </row>
    <row r="888">
      <c r="A888" t="inlineStr">
        <is>
          <t>30235</t>
        </is>
      </c>
      <c r="B888" t="inlineStr">
        <is>
          <t>大荒川の崎</t>
        </is>
      </c>
      <c r="C888" t="inlineStr">
        <is>
          <t>崎</t>
        </is>
      </c>
      <c r="D888" t="inlineStr"/>
      <c r="E888" t="inlineStr"/>
      <c r="F888" t="inlineStr">
        <is>
          <t>正保琉球国八山島絵図</t>
        </is>
      </c>
      <c r="G888" t="inlineStr"/>
      <c r="H888" t="inlineStr"/>
      <c r="I888" t="inlineStr">
        <is>
          <t>180</t>
        </is>
      </c>
      <c r="J888" t="inlineStr"/>
      <c r="K888" t="inlineStr"/>
      <c r="L888" s="1">
        <f>HYPERLINK("https://www.hi.u-tokyo.ac.jp/collection/degitalgallary/ryukyu/item/30235", "https://www.hi.u-tokyo.ac.jp/collection/degitalgallary/ryukyu/item/30235")</f>
        <v/>
      </c>
    </row>
    <row r="889">
      <c r="A889" t="inlineStr">
        <is>
          <t>30236</t>
        </is>
      </c>
      <c r="B889" t="inlineStr">
        <is>
          <t>もりの崎</t>
        </is>
      </c>
      <c r="C889" t="inlineStr">
        <is>
          <t>崎</t>
        </is>
      </c>
      <c r="D889" t="inlineStr">
        <is>
          <t>24.4390582</t>
        </is>
      </c>
      <c r="E889" t="inlineStr">
        <is>
          <t>122.9788191</t>
        </is>
      </c>
      <c r="F889" t="inlineStr">
        <is>
          <t>正保琉球国八山島絵図</t>
        </is>
      </c>
      <c r="G889" t="inlineStr"/>
      <c r="H889" t="inlineStr"/>
      <c r="I889" t="inlineStr">
        <is>
          <t>181</t>
        </is>
      </c>
      <c r="J889" t="inlineStr"/>
      <c r="K889" t="inlineStr">
        <is>
          <t>沖縄県八重山郡与那国町</t>
        </is>
      </c>
      <c r="L889" s="1">
        <f>HYPERLINK("https://www.hi.u-tokyo.ac.jp/collection/degitalgallary/ryukyu/item/30236", "https://www.hi.u-tokyo.ac.jp/collection/degitalgallary/ryukyu/item/30236")</f>
        <v/>
      </c>
    </row>
    <row r="890">
      <c r="A890" t="inlineStr">
        <is>
          <t>30237</t>
        </is>
      </c>
      <c r="B890" t="inlineStr">
        <is>
          <t>いれ之崎</t>
        </is>
      </c>
      <c r="C890" t="inlineStr">
        <is>
          <t>崎</t>
        </is>
      </c>
      <c r="D890" t="inlineStr">
        <is>
          <t>24.4500009</t>
        </is>
      </c>
      <c r="E890" t="inlineStr">
        <is>
          <t>122.9342772</t>
        </is>
      </c>
      <c r="F890" t="inlineStr">
        <is>
          <t>正保琉球国八山島絵図</t>
        </is>
      </c>
      <c r="G890" t="inlineStr"/>
      <c r="H890" t="inlineStr"/>
      <c r="I890" t="inlineStr">
        <is>
          <t>182</t>
        </is>
      </c>
      <c r="J890" t="inlineStr"/>
      <c r="K890" t="inlineStr">
        <is>
          <t>沖縄県八重山郡与那国町</t>
        </is>
      </c>
      <c r="L890" s="1">
        <f>HYPERLINK("https://www.hi.u-tokyo.ac.jp/collection/degitalgallary/ryukyu/item/30237", "https://www.hi.u-tokyo.ac.jp/collection/degitalgallary/ryukyu/item/30237")</f>
        <v/>
      </c>
    </row>
    <row r="891">
      <c r="A891" t="inlineStr">
        <is>
          <t>30238</t>
        </is>
      </c>
      <c r="B891" t="inlineStr">
        <is>
          <t>ひら崎</t>
        </is>
      </c>
      <c r="C891" t="inlineStr">
        <is>
          <t>崎</t>
        </is>
      </c>
      <c r="D891" t="inlineStr">
        <is>
          <t>24.4555745</t>
        </is>
      </c>
      <c r="E891" t="inlineStr">
        <is>
          <t>122.9416405</t>
        </is>
      </c>
      <c r="F891" t="inlineStr">
        <is>
          <t>正保琉球国八山島絵図</t>
        </is>
      </c>
      <c r="G891" t="inlineStr"/>
      <c r="H891" t="inlineStr"/>
      <c r="I891" t="inlineStr">
        <is>
          <t>183</t>
        </is>
      </c>
      <c r="J891" t="inlineStr"/>
      <c r="K891" t="inlineStr">
        <is>
          <t>沖縄県八重山郡与那国町</t>
        </is>
      </c>
      <c r="L891" s="1">
        <f>HYPERLINK("https://www.hi.u-tokyo.ac.jp/collection/degitalgallary/ryukyu/item/30238", "https://www.hi.u-tokyo.ac.jp/collection/degitalgallary/ryukyu/item/30238")</f>
        <v/>
      </c>
    </row>
    <row r="892">
      <c r="A892" t="inlineStr">
        <is>
          <t>30239</t>
        </is>
      </c>
      <c r="B892" t="inlineStr">
        <is>
          <t>とも崎</t>
        </is>
      </c>
      <c r="C892" t="inlineStr">
        <is>
          <t>崎</t>
        </is>
      </c>
      <c r="D892" t="inlineStr">
        <is>
          <t>24.4719759</t>
        </is>
      </c>
      <c r="E892" t="inlineStr">
        <is>
          <t>122.9628038</t>
        </is>
      </c>
      <c r="F892" t="inlineStr">
        <is>
          <t>正保琉球国八山島絵図</t>
        </is>
      </c>
      <c r="G892" t="inlineStr"/>
      <c r="H892" t="inlineStr"/>
      <c r="I892" t="inlineStr">
        <is>
          <t>184</t>
        </is>
      </c>
      <c r="J892" t="inlineStr"/>
      <c r="K892" t="inlineStr">
        <is>
          <t>沖縄県八重山郡与那国町</t>
        </is>
      </c>
      <c r="L892" s="1">
        <f>HYPERLINK("https://www.hi.u-tokyo.ac.jp/collection/degitalgallary/ryukyu/item/30239", "https://www.hi.u-tokyo.ac.jp/collection/degitalgallary/ryukyu/item/30239")</f>
        <v/>
      </c>
    </row>
    <row r="893">
      <c r="A893" t="inlineStr">
        <is>
          <t>30240</t>
        </is>
      </c>
      <c r="B893" t="inlineStr">
        <is>
          <t>としろ崎</t>
        </is>
      </c>
      <c r="C893" t="inlineStr">
        <is>
          <t>崎</t>
        </is>
      </c>
      <c r="D893" t="inlineStr">
        <is>
          <t>24.4683455</t>
        </is>
      </c>
      <c r="E893" t="inlineStr">
        <is>
          <t>122.976906</t>
        </is>
      </c>
      <c r="F893" t="inlineStr">
        <is>
          <t>正保琉球国八山島絵図</t>
        </is>
      </c>
      <c r="G893" t="inlineStr"/>
      <c r="H893" t="inlineStr"/>
      <c r="I893" t="inlineStr">
        <is>
          <t>185</t>
        </is>
      </c>
      <c r="J893" t="inlineStr"/>
      <c r="K893" t="inlineStr">
        <is>
          <t>沖縄県八重山郡与那国町</t>
        </is>
      </c>
      <c r="L893" s="1">
        <f>HYPERLINK("https://www.hi.u-tokyo.ac.jp/collection/degitalgallary/ryukyu/item/30240", "https://www.hi.u-tokyo.ac.jp/collection/degitalgallary/ryukyu/item/30240")</f>
        <v/>
      </c>
    </row>
    <row r="894">
      <c r="A894" t="inlineStr">
        <is>
          <t>30241</t>
        </is>
      </c>
      <c r="B894" t="inlineStr">
        <is>
          <t>あへ崎</t>
        </is>
      </c>
      <c r="C894" t="inlineStr">
        <is>
          <t>崎</t>
        </is>
      </c>
      <c r="D894" t="inlineStr">
        <is>
          <t>24.4729356</t>
        </is>
      </c>
      <c r="E894" t="inlineStr">
        <is>
          <t>122.9950806</t>
        </is>
      </c>
      <c r="F894" t="inlineStr">
        <is>
          <t>正保琉球国八山島絵図</t>
        </is>
      </c>
      <c r="G894" t="inlineStr"/>
      <c r="H894" t="inlineStr"/>
      <c r="I894" t="inlineStr">
        <is>
          <t>186</t>
        </is>
      </c>
      <c r="J894" t="inlineStr"/>
      <c r="K894" t="inlineStr">
        <is>
          <t>沖縄県八重山郡与那国町</t>
        </is>
      </c>
      <c r="L894" s="1">
        <f>HYPERLINK("https://www.hi.u-tokyo.ac.jp/collection/degitalgallary/ryukyu/item/30241", "https://www.hi.u-tokyo.ac.jp/collection/degitalgallary/ryukyu/item/30241")</f>
        <v/>
      </c>
    </row>
    <row r="895">
      <c r="A895" t="inlineStr">
        <is>
          <t>30242</t>
        </is>
      </c>
      <c r="B895" t="inlineStr">
        <is>
          <t>船繋不成</t>
        </is>
      </c>
      <c r="C895" t="inlineStr">
        <is>
          <t>港湾</t>
        </is>
      </c>
      <c r="D895" t="inlineStr"/>
      <c r="E895" t="inlineStr"/>
      <c r="F895" t="inlineStr">
        <is>
          <t>正保琉球国八山島絵図</t>
        </is>
      </c>
      <c r="G895" t="inlineStr"/>
      <c r="H895" t="inlineStr"/>
      <c r="I895" t="inlineStr">
        <is>
          <t>187</t>
        </is>
      </c>
      <c r="J895" t="inlineStr"/>
      <c r="K895" t="inlineStr"/>
      <c r="L895" s="1">
        <f>HYPERLINK("https://www.hi.u-tokyo.ac.jp/collection/degitalgallary/ryukyu/item/30242", "https://www.hi.u-tokyo.ac.jp/collection/degitalgallary/ryukyu/item/30242")</f>
        <v/>
      </c>
    </row>
    <row r="896">
      <c r="A896" t="inlineStr">
        <is>
          <t>30243</t>
        </is>
      </c>
      <c r="B896" t="inlineStr">
        <is>
          <t>大石崎</t>
        </is>
      </c>
      <c r="C896" t="inlineStr">
        <is>
          <t>崎</t>
        </is>
      </c>
      <c r="D896" t="inlineStr">
        <is>
          <t>24.4741076</t>
        </is>
      </c>
      <c r="E896" t="inlineStr">
        <is>
          <t>123.0058629</t>
        </is>
      </c>
      <c r="F896" t="inlineStr">
        <is>
          <t>正保琉球国八山島絵図</t>
        </is>
      </c>
      <c r="G896" t="inlineStr"/>
      <c r="H896" t="inlineStr"/>
      <c r="I896" t="inlineStr">
        <is>
          <t>188</t>
        </is>
      </c>
      <c r="J896" t="inlineStr"/>
      <c r="K896" t="inlineStr">
        <is>
          <t>沖縄県八重山郡与那国町</t>
        </is>
      </c>
      <c r="L896" s="1">
        <f>HYPERLINK("https://www.hi.u-tokyo.ac.jp/collection/degitalgallary/ryukyu/item/30243", "https://www.hi.u-tokyo.ac.jp/collection/degitalgallary/ryukyu/item/30243")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2021-12-02T05:58:56Z</dcterms:created>
  <dcterms:modified xmlns:dcterms="http://purl.org/dc/terms/" xmlns:xsi="http://www.w3.org/2001/XMLSchema-instance" xsi:type="dcterms:W3CDTF">2021-12-02T05:58:56Z</dcterms:modified>
</cp:coreProperties>
</file>