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heet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color rgb="000563C1"/>
      <u val="single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L244"/>
  <sheetViews>
    <sheetView workbookViewId="0">
      <selection activeCell="A1" sqref="A1"/>
    </sheetView>
  </sheetViews>
  <sheetFormatPr baseColWidth="8" defaultRowHeight="15"/>
  <sheetData>
    <row r="1">
      <c r="A1" t="inlineStr">
        <is>
          <t>entry_id</t>
        </is>
      </c>
      <c r="B1" t="inlineStr">
        <is>
          <t>body</t>
        </is>
      </c>
      <c r="C1" t="inlineStr">
        <is>
          <t>ne_class</t>
        </is>
      </c>
      <c r="D1" t="inlineStr">
        <is>
          <t>latitude</t>
        </is>
      </c>
      <c r="E1" t="inlineStr">
        <is>
          <t>longitude</t>
        </is>
      </c>
      <c r="F1" t="inlineStr">
        <is>
          <t>description</t>
        </is>
      </c>
      <c r="G1" t="inlineStr">
        <is>
          <t>説明文</t>
        </is>
      </c>
      <c r="H1" t="inlineStr">
        <is>
          <t>備考</t>
        </is>
      </c>
      <c r="I1" t="inlineStr">
        <is>
          <t>沖縄県教育委員会編『琉球国絵図史料集』第１集の番号</t>
        </is>
      </c>
      <c r="J1" t="inlineStr">
        <is>
          <t>ジャパンナレッジID</t>
        </is>
      </c>
      <c r="K1" t="inlineStr">
        <is>
          <t>現在の地名</t>
        </is>
      </c>
      <c r="L1" t="inlineStr">
        <is>
          <t>source</t>
        </is>
      </c>
    </row>
    <row r="2">
      <c r="A2" t="inlineStr">
        <is>
          <t>30001</t>
        </is>
      </c>
      <c r="B2" t="inlineStr">
        <is>
          <t xml:space="preserve">　松平薩摩守
琉球国之内
高壱万弐千四百五拾八石七斗九升二合　宮古嶋
高六千六百三拾七石三斗二升一合　八重山嶋
都合高壱万九千九拾六石壱斗壱升三合</t>
        </is>
      </c>
      <c r="C2" t="inlineStr">
        <is>
          <t>畾紙</t>
        </is>
      </c>
      <c r="D2" t="inlineStr"/>
      <c r="E2" t="inlineStr"/>
      <c r="F2" t="inlineStr">
        <is>
          <t>正保琉球国八山島絵図</t>
        </is>
      </c>
      <c r="G2" t="inlineStr"/>
      <c r="H2" t="inlineStr"/>
      <c r="I2" t="inlineStr"/>
      <c r="J2" t="inlineStr"/>
      <c r="K2" t="inlineStr"/>
      <c r="L2" s="1">
        <f>HYPERLINK("https://www.hi.u-tokyo.ac.jp/collection/degitalgallary/ryukyu/item/30001", "https://www.hi.u-tokyo.ac.jp/collection/degitalgallary/ryukyu/item/30001")</f>
        <v/>
      </c>
    </row>
    <row r="3">
      <c r="A3" t="inlineStr">
        <is>
          <t>30002</t>
        </is>
      </c>
      <c r="B3" t="inlineStr">
        <is>
          <t>東</t>
        </is>
      </c>
      <c r="C3" t="inlineStr">
        <is>
          <t>方位</t>
        </is>
      </c>
      <c r="D3" t="inlineStr"/>
      <c r="E3" t="inlineStr"/>
      <c r="F3" t="inlineStr">
        <is>
          <t>正保琉球国八山島絵図</t>
        </is>
      </c>
      <c r="G3" t="inlineStr"/>
      <c r="H3" t="inlineStr"/>
      <c r="I3" t="inlineStr"/>
      <c r="J3" t="inlineStr">
        <is>
          <t>30020480000094900</t>
        </is>
      </c>
      <c r="K3" t="inlineStr"/>
      <c r="L3" s="1">
        <f>HYPERLINK("https://www.hi.u-tokyo.ac.jp/collection/degitalgallary/ryukyu/item/30002", "https://www.hi.u-tokyo.ac.jp/collection/degitalgallary/ryukyu/item/30002")</f>
        <v/>
      </c>
    </row>
    <row r="4">
      <c r="A4" t="inlineStr">
        <is>
          <t>30003</t>
        </is>
      </c>
      <c r="B4" t="inlineStr">
        <is>
          <t>南</t>
        </is>
      </c>
      <c r="C4" t="inlineStr">
        <is>
          <t>方位</t>
        </is>
      </c>
      <c r="D4" t="inlineStr"/>
      <c r="E4" t="inlineStr"/>
      <c r="F4" t="inlineStr">
        <is>
          <t>正保琉球国八山島絵図</t>
        </is>
      </c>
      <c r="G4" t="inlineStr"/>
      <c r="H4" t="inlineStr"/>
      <c r="I4" t="inlineStr"/>
      <c r="J4" t="inlineStr"/>
      <c r="K4" t="inlineStr"/>
      <c r="L4" s="1">
        <f>HYPERLINK("https://www.hi.u-tokyo.ac.jp/collection/degitalgallary/ryukyu/item/30003", "https://www.hi.u-tokyo.ac.jp/collection/degitalgallary/ryukyu/item/30003")</f>
        <v/>
      </c>
    </row>
    <row r="5">
      <c r="A5" t="inlineStr">
        <is>
          <t>30004</t>
        </is>
      </c>
      <c r="B5" t="inlineStr">
        <is>
          <t>北</t>
        </is>
      </c>
      <c r="C5" t="inlineStr">
        <is>
          <t>方位</t>
        </is>
      </c>
      <c r="D5" t="inlineStr"/>
      <c r="E5" t="inlineStr"/>
      <c r="F5" t="inlineStr">
        <is>
          <t>正保琉球国八山島絵図</t>
        </is>
      </c>
      <c r="G5" t="inlineStr"/>
      <c r="H5" t="inlineStr"/>
      <c r="I5" t="inlineStr"/>
      <c r="J5" t="inlineStr"/>
      <c r="K5" t="inlineStr"/>
      <c r="L5" s="1">
        <f>HYPERLINK("https://www.hi.u-tokyo.ac.jp/collection/degitalgallary/ryukyu/item/30004", "https://www.hi.u-tokyo.ac.jp/collection/degitalgallary/ryukyu/item/30004")</f>
        <v/>
      </c>
    </row>
    <row r="6">
      <c r="A6" t="inlineStr">
        <is>
          <t>30005</t>
        </is>
      </c>
      <c r="B6" t="inlineStr">
        <is>
          <t>西</t>
        </is>
      </c>
      <c r="C6" t="inlineStr">
        <is>
          <t>方位</t>
        </is>
      </c>
      <c r="D6" t="inlineStr"/>
      <c r="E6" t="inlineStr"/>
      <c r="F6" t="inlineStr">
        <is>
          <t>正保琉球国八山島絵図</t>
        </is>
      </c>
      <c r="G6" t="inlineStr"/>
      <c r="H6" t="inlineStr"/>
      <c r="I6" t="inlineStr"/>
      <c r="J6" t="inlineStr"/>
      <c r="K6" t="inlineStr"/>
      <c r="L6" s="1">
        <f>HYPERLINK("https://www.hi.u-tokyo.ac.jp/collection/degitalgallary/ryukyu/item/30005", "https://www.hi.u-tokyo.ac.jp/collection/degitalgallary/ryukyu/item/30005")</f>
        <v/>
      </c>
    </row>
    <row r="7">
      <c r="A7" t="inlineStr">
        <is>
          <t>30006</t>
        </is>
      </c>
      <c r="B7" t="inlineStr">
        <is>
          <t>かりまた間切</t>
        </is>
      </c>
      <c r="C7" t="inlineStr">
        <is>
          <t>間切</t>
        </is>
      </c>
      <c r="D7" t="inlineStr">
        <is>
          <t>24.8804021</t>
        </is>
      </c>
      <c r="E7" t="inlineStr">
        <is>
          <t>125.278017</t>
        </is>
      </c>
      <c r="F7" t="inlineStr">
        <is>
          <t>正保琉球国八山島絵図</t>
        </is>
      </c>
      <c r="G7" t="inlineStr">
        <is>
          <t>千五百五十七石余</t>
        </is>
      </c>
      <c r="H7" t="inlineStr"/>
      <c r="I7" t="inlineStr">
        <is>
          <t>〔1〕</t>
        </is>
      </c>
      <c r="J7" t="inlineStr"/>
      <c r="K7" t="inlineStr">
        <is>
          <t>沖縄県宮古島市平良狩俣</t>
        </is>
      </c>
      <c r="L7" s="1">
        <f>HYPERLINK("https://www.hi.u-tokyo.ac.jp/collection/degitalgallary/ryukyu/item/30006", "https://www.hi.u-tokyo.ac.jp/collection/degitalgallary/ryukyu/item/30006")</f>
        <v/>
      </c>
    </row>
    <row r="8">
      <c r="A8" t="inlineStr">
        <is>
          <t>30007</t>
        </is>
      </c>
      <c r="B8" t="inlineStr">
        <is>
          <t>かりまた間切之内嶋尻村</t>
        </is>
      </c>
      <c r="C8" t="inlineStr">
        <is>
          <t>村</t>
        </is>
      </c>
      <c r="D8" t="inlineStr">
        <is>
          <t>24.8691441</t>
        </is>
      </c>
      <c r="E8" t="inlineStr">
        <is>
          <t>125.2958607</t>
        </is>
      </c>
      <c r="F8" t="inlineStr">
        <is>
          <t>正保琉球国八山島絵図</t>
        </is>
      </c>
      <c r="G8" t="inlineStr">
        <is>
          <t>嶋尻村</t>
        </is>
      </c>
      <c r="H8" t="inlineStr"/>
      <c r="I8" t="inlineStr">
        <is>
          <t>〔2〕</t>
        </is>
      </c>
      <c r="J8" t="inlineStr"/>
      <c r="K8" t="inlineStr">
        <is>
          <t>沖縄県宮古島市平良島尻</t>
        </is>
      </c>
      <c r="L8" s="1">
        <f>HYPERLINK("https://www.hi.u-tokyo.ac.jp/collection/degitalgallary/ryukyu/item/30007", "https://www.hi.u-tokyo.ac.jp/collection/degitalgallary/ryukyu/item/30007")</f>
        <v/>
      </c>
    </row>
    <row r="9">
      <c r="A9" t="inlineStr">
        <is>
          <t>30008</t>
        </is>
      </c>
      <c r="B9" t="inlineStr">
        <is>
          <t>平良間切之内入中曽根村</t>
        </is>
      </c>
      <c r="C9" t="inlineStr">
        <is>
          <t>村</t>
        </is>
      </c>
      <c r="D9" t="inlineStr">
        <is>
          <t>24.8126584</t>
        </is>
      </c>
      <c r="E9" t="inlineStr">
        <is>
          <t>125.2999779</t>
        </is>
      </c>
      <c r="F9" t="inlineStr">
        <is>
          <t>正保琉球国八山島絵図</t>
        </is>
      </c>
      <c r="G9" t="inlineStr">
        <is>
          <t>入中曽根村</t>
        </is>
      </c>
      <c r="H9" t="inlineStr"/>
      <c r="I9" t="inlineStr">
        <is>
          <t>〔3〕</t>
        </is>
      </c>
      <c r="J9" t="inlineStr"/>
      <c r="K9" t="inlineStr">
        <is>
          <t>沖縄県宮古島市平良西仲宗根</t>
        </is>
      </c>
      <c r="L9" s="1">
        <f>HYPERLINK("https://www.hi.u-tokyo.ac.jp/collection/degitalgallary/ryukyu/item/30008", "https://www.hi.u-tokyo.ac.jp/collection/degitalgallary/ryukyu/item/30008")</f>
        <v/>
      </c>
    </row>
    <row r="10">
      <c r="A10" t="inlineStr">
        <is>
          <t>30009</t>
        </is>
      </c>
      <c r="B10" t="inlineStr">
        <is>
          <t>平良間切之内あかり中曽根村</t>
        </is>
      </c>
      <c r="C10" t="inlineStr">
        <is>
          <t>村</t>
        </is>
      </c>
      <c r="D10" t="inlineStr">
        <is>
          <t>24.8029179</t>
        </is>
      </c>
      <c r="E10" t="inlineStr">
        <is>
          <t>125.2931157</t>
        </is>
      </c>
      <c r="F10" t="inlineStr">
        <is>
          <t>正保琉球国八山島絵図</t>
        </is>
      </c>
      <c r="G10" t="inlineStr">
        <is>
          <t>あかり中曽根村</t>
        </is>
      </c>
      <c r="H10" t="inlineStr"/>
      <c r="I10" t="inlineStr">
        <is>
          <t>〔4〕</t>
        </is>
      </c>
      <c r="J10" t="inlineStr"/>
      <c r="K10" t="inlineStr">
        <is>
          <t>沖縄県宮古島市平良東仲宗根</t>
        </is>
      </c>
      <c r="L10" s="1">
        <f>HYPERLINK("https://www.hi.u-tokyo.ac.jp/collection/degitalgallary/ryukyu/item/30009", "https://www.hi.u-tokyo.ac.jp/collection/degitalgallary/ryukyu/item/30009")</f>
        <v/>
      </c>
    </row>
    <row r="11">
      <c r="A11" t="inlineStr">
        <is>
          <t>30010</t>
        </is>
      </c>
      <c r="B11" t="inlineStr">
        <is>
          <t>平良間切</t>
        </is>
      </c>
      <c r="C11" t="inlineStr">
        <is>
          <t>間切</t>
        </is>
      </c>
      <c r="D11" t="inlineStr"/>
      <c r="E11" t="inlineStr"/>
      <c r="F11" t="inlineStr">
        <is>
          <t>正保琉球国八山島絵図</t>
        </is>
      </c>
      <c r="G11" t="inlineStr">
        <is>
          <t>三千三百十石余</t>
        </is>
      </c>
      <c r="H11" t="inlineStr"/>
      <c r="I11" t="inlineStr">
        <is>
          <t>〔5〕</t>
        </is>
      </c>
      <c r="J11" t="inlineStr">
        <is>
          <t>30020480000157900</t>
        </is>
      </c>
      <c r="K11" t="inlineStr"/>
      <c r="L11" s="1">
        <f>HYPERLINK("https://www.hi.u-tokyo.ac.jp/collection/degitalgallary/ryukyu/item/30010", "https://www.hi.u-tokyo.ac.jp/collection/degitalgallary/ryukyu/item/30010")</f>
        <v/>
      </c>
    </row>
    <row r="12">
      <c r="A12" t="inlineStr">
        <is>
          <t>30011</t>
        </is>
      </c>
      <c r="B12" t="inlineStr">
        <is>
          <t>平良間切之内新里村</t>
        </is>
      </c>
      <c r="C12" t="inlineStr">
        <is>
          <t>村</t>
        </is>
      </c>
      <c r="D12" t="inlineStr">
        <is>
          <t>24.7832291</t>
        </is>
      </c>
      <c r="E12" t="inlineStr">
        <is>
          <t>125.2944882</t>
        </is>
      </c>
      <c r="F12" t="inlineStr">
        <is>
          <t>正保琉球国八山島絵図</t>
        </is>
      </c>
      <c r="G12" t="inlineStr">
        <is>
          <t>新里村</t>
        </is>
      </c>
      <c r="H12" t="inlineStr"/>
      <c r="I12" t="inlineStr">
        <is>
          <t>〔6〕</t>
        </is>
      </c>
      <c r="J12" t="inlineStr"/>
      <c r="K12" t="inlineStr">
        <is>
          <t>沖縄県宮古島市平良下里</t>
        </is>
      </c>
      <c r="L12" s="1">
        <f>HYPERLINK("https://www.hi.u-tokyo.ac.jp/collection/degitalgallary/ryukyu/item/30011", "https://www.hi.u-tokyo.ac.jp/collection/degitalgallary/ryukyu/item/30011")</f>
        <v/>
      </c>
    </row>
    <row r="13">
      <c r="A13" t="inlineStr">
        <is>
          <t>30012</t>
        </is>
      </c>
      <c r="B13" t="inlineStr">
        <is>
          <t>平良間切之内松原村</t>
        </is>
      </c>
      <c r="C13" t="inlineStr">
        <is>
          <t>村</t>
        </is>
      </c>
      <c r="D13" t="inlineStr">
        <is>
          <t>24.7773606</t>
        </is>
      </c>
      <c r="E13" t="inlineStr">
        <is>
          <t>125.278017</t>
        </is>
      </c>
      <c r="F13" t="inlineStr">
        <is>
          <t>正保琉球国八山島絵図</t>
        </is>
      </c>
      <c r="G13" t="inlineStr">
        <is>
          <t>松原村</t>
        </is>
      </c>
      <c r="H13" t="inlineStr"/>
      <c r="I13" t="inlineStr">
        <is>
          <t>〔7〕</t>
        </is>
      </c>
      <c r="J13" t="inlineStr"/>
      <c r="K13" t="inlineStr">
        <is>
          <t>沖縄県宮古島市平良松原</t>
        </is>
      </c>
      <c r="L13" s="1">
        <f>HYPERLINK("https://www.hi.u-tokyo.ac.jp/collection/degitalgallary/ryukyu/item/30012", "https://www.hi.u-tokyo.ac.jp/collection/degitalgallary/ryukyu/item/30012")</f>
        <v/>
      </c>
    </row>
    <row r="14">
      <c r="A14" t="inlineStr">
        <is>
          <t>30013</t>
        </is>
      </c>
      <c r="B14" t="inlineStr">
        <is>
          <t>下地間切</t>
        </is>
      </c>
      <c r="C14" t="inlineStr">
        <is>
          <t>間切</t>
        </is>
      </c>
      <c r="D14" t="inlineStr"/>
      <c r="E14" t="inlineStr"/>
      <c r="F14" t="inlineStr">
        <is>
          <t>正保琉球国八山島絵図</t>
        </is>
      </c>
      <c r="G14" t="inlineStr">
        <is>
          <t>三千六百七石余</t>
        </is>
      </c>
      <c r="H14" t="inlineStr"/>
      <c r="I14" t="inlineStr">
        <is>
          <t>〔8〕</t>
        </is>
      </c>
      <c r="J14" t="inlineStr">
        <is>
          <t>30020480000166400</t>
        </is>
      </c>
      <c r="K14" t="inlineStr"/>
      <c r="L14" s="1">
        <f>HYPERLINK("https://www.hi.u-tokyo.ac.jp/collection/degitalgallary/ryukyu/item/30013", "https://www.hi.u-tokyo.ac.jp/collection/degitalgallary/ryukyu/item/30013")</f>
        <v/>
      </c>
    </row>
    <row r="15">
      <c r="A15" t="inlineStr">
        <is>
          <t>30014</t>
        </is>
      </c>
      <c r="B15" t="inlineStr">
        <is>
          <t>下地間切之内上地村</t>
        </is>
      </c>
      <c r="C15" t="inlineStr">
        <is>
          <t>村</t>
        </is>
      </c>
      <c r="D15" t="inlineStr"/>
      <c r="E15" t="inlineStr"/>
      <c r="F15" t="inlineStr">
        <is>
          <t>正保琉球国八山島絵図</t>
        </is>
      </c>
      <c r="G15" t="inlineStr">
        <is>
          <t>上地村</t>
        </is>
      </c>
      <c r="H15" t="inlineStr"/>
      <c r="I15" t="inlineStr">
        <is>
          <t>〔9〕</t>
        </is>
      </c>
      <c r="J15" t="inlineStr"/>
      <c r="K15" t="inlineStr"/>
      <c r="L15" s="1">
        <f>HYPERLINK("https://www.hi.u-tokyo.ac.jp/collection/degitalgallary/ryukyu/item/30014", "https://www.hi.u-tokyo.ac.jp/collection/degitalgallary/ryukyu/item/30014")</f>
        <v/>
      </c>
    </row>
    <row r="16">
      <c r="A16" t="inlineStr">
        <is>
          <t>30015</t>
        </is>
      </c>
      <c r="B16" t="inlineStr">
        <is>
          <t>下地間切之内すかま村</t>
        </is>
      </c>
      <c r="C16" t="inlineStr">
        <is>
          <t>村</t>
        </is>
      </c>
      <c r="D16" t="inlineStr"/>
      <c r="E16" t="inlineStr"/>
      <c r="F16" t="inlineStr">
        <is>
          <t>正保琉球国八山島絵図</t>
        </is>
      </c>
      <c r="G16" t="inlineStr">
        <is>
          <t>すかま村</t>
        </is>
      </c>
      <c r="H16" t="inlineStr"/>
      <c r="I16" t="inlineStr">
        <is>
          <t>〔10〕</t>
        </is>
      </c>
      <c r="J16" t="inlineStr"/>
      <c r="K16" t="inlineStr"/>
      <c r="L16" s="1">
        <f>HYPERLINK("https://www.hi.u-tokyo.ac.jp/collection/degitalgallary/ryukyu/item/30015", "https://www.hi.u-tokyo.ac.jp/collection/degitalgallary/ryukyu/item/30015")</f>
        <v/>
      </c>
    </row>
    <row r="17">
      <c r="A17" t="inlineStr">
        <is>
          <t>30016</t>
        </is>
      </c>
      <c r="B17" t="inlineStr">
        <is>
          <t>下地間切之内与那覇村</t>
        </is>
      </c>
      <c r="C17" t="inlineStr">
        <is>
          <t>村</t>
        </is>
      </c>
      <c r="D17" t="inlineStr">
        <is>
          <t>24.7390913</t>
        </is>
      </c>
      <c r="E17" t="inlineStr">
        <is>
          <t>125.2670344</t>
        </is>
      </c>
      <c r="F17" t="inlineStr">
        <is>
          <t>正保琉球国八山島絵図</t>
        </is>
      </c>
      <c r="G17" t="inlineStr">
        <is>
          <t>与那覇村</t>
        </is>
      </c>
      <c r="H17" t="inlineStr"/>
      <c r="I17" t="inlineStr">
        <is>
          <t>〔11〕</t>
        </is>
      </c>
      <c r="J17" t="inlineStr"/>
      <c r="K17" t="inlineStr">
        <is>
          <t>沖縄県宮古島市下地与那覇</t>
        </is>
      </c>
      <c r="L17" s="1">
        <f>HYPERLINK("https://www.hi.u-tokyo.ac.jp/collection/degitalgallary/ryukyu/item/30016", "https://www.hi.u-tokyo.ac.jp/collection/degitalgallary/ryukyu/item/30016")</f>
        <v/>
      </c>
    </row>
    <row r="18">
      <c r="A18" t="inlineStr">
        <is>
          <t>30017</t>
        </is>
      </c>
      <c r="B18" t="inlineStr">
        <is>
          <t>おろか間切之内百名村</t>
        </is>
      </c>
      <c r="C18" t="inlineStr">
        <is>
          <t>村</t>
        </is>
      </c>
      <c r="D18" t="inlineStr">
        <is>
          <t>24.7344366</t>
        </is>
      </c>
      <c r="E18" t="inlineStr">
        <is>
          <t>125.4371006</t>
        </is>
      </c>
      <c r="F18" t="inlineStr">
        <is>
          <t>正保琉球国八山島絵図</t>
        </is>
      </c>
      <c r="G18" t="inlineStr">
        <is>
          <t>百名村</t>
        </is>
      </c>
      <c r="H18" t="inlineStr"/>
      <c r="I18" t="inlineStr">
        <is>
          <t>〔12〕</t>
        </is>
      </c>
      <c r="J18" t="inlineStr"/>
      <c r="K18" t="inlineStr">
        <is>
          <t>沖縄県宮古島市城辺保良</t>
        </is>
      </c>
      <c r="L18" s="1">
        <f>HYPERLINK("https://www.hi.u-tokyo.ac.jp/collection/degitalgallary/ryukyu/item/30017", "https://www.hi.u-tokyo.ac.jp/collection/degitalgallary/ryukyu/item/30017")</f>
        <v/>
      </c>
    </row>
    <row r="19">
      <c r="A19" t="inlineStr">
        <is>
          <t>30018</t>
        </is>
      </c>
      <c r="B19" t="inlineStr">
        <is>
          <t>おろか間切之内中きや泊村</t>
        </is>
      </c>
      <c r="C19" t="inlineStr">
        <is>
          <t>村</t>
        </is>
      </c>
      <c r="D19" t="inlineStr"/>
      <c r="E19" t="inlineStr"/>
      <c r="F19" t="inlineStr">
        <is>
          <t>正保琉球国八山島絵図</t>
        </is>
      </c>
      <c r="G19" t="inlineStr">
        <is>
          <t>中きや泊村</t>
        </is>
      </c>
      <c r="H19" t="inlineStr"/>
      <c r="I19" t="inlineStr">
        <is>
          <t>〔13〕</t>
        </is>
      </c>
      <c r="J19" t="inlineStr"/>
      <c r="K19" t="inlineStr"/>
      <c r="L19" s="1">
        <f>HYPERLINK("https://www.hi.u-tokyo.ac.jp/collection/degitalgallary/ryukyu/item/30018", "https://www.hi.u-tokyo.ac.jp/collection/degitalgallary/ryukyu/item/30018")</f>
        <v/>
      </c>
    </row>
    <row r="20">
      <c r="A20" t="inlineStr">
        <is>
          <t>30019</t>
        </is>
      </c>
      <c r="B20" t="inlineStr">
        <is>
          <t>おろか間切之内きんす川村</t>
        </is>
      </c>
      <c r="C20" t="inlineStr">
        <is>
          <t>村</t>
        </is>
      </c>
      <c r="D20" t="inlineStr"/>
      <c r="E20" t="inlineStr"/>
      <c r="F20" t="inlineStr">
        <is>
          <t>正保琉球国八山島絵図</t>
        </is>
      </c>
      <c r="G20" t="inlineStr">
        <is>
          <t>きんす川村</t>
        </is>
      </c>
      <c r="H20" t="inlineStr"/>
      <c r="I20" t="inlineStr">
        <is>
          <t>〔14〕</t>
        </is>
      </c>
      <c r="J20" t="inlineStr"/>
      <c r="K20" t="inlineStr"/>
      <c r="L20" s="1">
        <f>HYPERLINK("https://www.hi.u-tokyo.ac.jp/collection/degitalgallary/ryukyu/item/30019", "https://www.hi.u-tokyo.ac.jp/collection/degitalgallary/ryukyu/item/30019")</f>
        <v/>
      </c>
    </row>
    <row r="21">
      <c r="A21" t="inlineStr">
        <is>
          <t>30020</t>
        </is>
      </c>
      <c r="B21" t="inlineStr">
        <is>
          <t>おろか間切之内友利村</t>
        </is>
      </c>
      <c r="C21" t="inlineStr">
        <is>
          <t>村</t>
        </is>
      </c>
      <c r="D21" t="inlineStr">
        <is>
          <t>24.7316171</t>
        </is>
      </c>
      <c r="E21" t="inlineStr">
        <is>
          <t>125.3713103</t>
        </is>
      </c>
      <c r="F21" t="inlineStr">
        <is>
          <t>正保琉球国八山島絵図</t>
        </is>
      </c>
      <c r="G21" t="inlineStr">
        <is>
          <t>友利村</t>
        </is>
      </c>
      <c r="H21" t="inlineStr"/>
      <c r="I21" t="inlineStr">
        <is>
          <t>〔15〕</t>
        </is>
      </c>
      <c r="J21" t="inlineStr"/>
      <c r="K21" t="inlineStr">
        <is>
          <t>沖縄県宮古島市城辺友利</t>
        </is>
      </c>
      <c r="L21" s="1">
        <f>HYPERLINK("https://www.hi.u-tokyo.ac.jp/collection/degitalgallary/ryukyu/item/30020", "https://www.hi.u-tokyo.ac.jp/collection/degitalgallary/ryukyu/item/30020")</f>
        <v/>
      </c>
    </row>
    <row r="22">
      <c r="A22" t="inlineStr">
        <is>
          <t>30021</t>
        </is>
      </c>
      <c r="B22" t="inlineStr">
        <is>
          <t>おろか間切</t>
        </is>
      </c>
      <c r="C22" t="inlineStr">
        <is>
          <t>間切</t>
        </is>
      </c>
      <c r="D22" t="inlineStr"/>
      <c r="E22" t="inlineStr"/>
      <c r="F22" t="inlineStr">
        <is>
          <t>正保琉球国八山島絵図</t>
        </is>
      </c>
      <c r="G22" t="inlineStr">
        <is>
          <t>三千三百八十九石余</t>
        </is>
      </c>
      <c r="H22" t="inlineStr"/>
      <c r="I22" t="inlineStr">
        <is>
          <t>〔16〕</t>
        </is>
      </c>
      <c r="J22" t="inlineStr"/>
      <c r="K22" t="inlineStr"/>
      <c r="L22" s="1">
        <f>HYPERLINK("https://www.hi.u-tokyo.ac.jp/collection/degitalgallary/ryukyu/item/30021", "https://www.hi.u-tokyo.ac.jp/collection/degitalgallary/ryukyu/item/30021")</f>
        <v/>
      </c>
    </row>
    <row r="23">
      <c r="A23" t="inlineStr">
        <is>
          <t>30022</t>
        </is>
      </c>
      <c r="B23" t="inlineStr">
        <is>
          <t>おろか間切之内荒里村</t>
        </is>
      </c>
      <c r="C23" t="inlineStr">
        <is>
          <t>村</t>
        </is>
      </c>
      <c r="D23" t="inlineStr">
        <is>
          <t>24.7301915</t>
        </is>
      </c>
      <c r="E23" t="inlineStr">
        <is>
          <t>125.3383954</t>
        </is>
      </c>
      <c r="F23" t="inlineStr">
        <is>
          <t>正保琉球国八山島絵図</t>
        </is>
      </c>
      <c r="G23" t="inlineStr">
        <is>
          <t>荒里村</t>
        </is>
      </c>
      <c r="H23" t="inlineStr"/>
      <c r="I23" t="inlineStr">
        <is>
          <t>〔17〕</t>
        </is>
      </c>
      <c r="J23" t="inlineStr"/>
      <c r="K23" t="inlineStr">
        <is>
          <t>沖縄県宮古島市上野新里</t>
        </is>
      </c>
      <c r="L23" s="1">
        <f>HYPERLINK("https://www.hi.u-tokyo.ac.jp/collection/degitalgallary/ryukyu/item/30022", "https://www.hi.u-tokyo.ac.jp/collection/degitalgallary/ryukyu/item/30022")</f>
        <v/>
      </c>
    </row>
    <row r="24">
      <c r="A24" t="inlineStr">
        <is>
          <t>30023</t>
        </is>
      </c>
      <c r="B24" t="inlineStr">
        <is>
          <t>おろか間切之内宮国村</t>
        </is>
      </c>
      <c r="C24" t="inlineStr">
        <is>
          <t>村</t>
        </is>
      </c>
      <c r="D24" t="inlineStr">
        <is>
          <t>24.7243238</t>
        </is>
      </c>
      <c r="E24" t="inlineStr">
        <is>
          <t>125.3219329</t>
        </is>
      </c>
      <c r="F24" t="inlineStr">
        <is>
          <t>正保琉球国八山島絵図</t>
        </is>
      </c>
      <c r="G24" t="inlineStr">
        <is>
          <t>宮国村</t>
        </is>
      </c>
      <c r="H24" t="inlineStr"/>
      <c r="I24" t="inlineStr">
        <is>
          <t>〔18〕</t>
        </is>
      </c>
      <c r="J24" t="inlineStr"/>
      <c r="K24" t="inlineStr">
        <is>
          <t>沖縄県宮古島市上野宮国</t>
        </is>
      </c>
      <c r="L24" s="1">
        <f>HYPERLINK("https://www.hi.u-tokyo.ac.jp/collection/degitalgallary/ryukyu/item/30023", "https://www.hi.u-tokyo.ac.jp/collection/degitalgallary/ryukyu/item/30023")</f>
        <v/>
      </c>
    </row>
    <row r="25">
      <c r="A25" t="inlineStr">
        <is>
          <t>30024</t>
        </is>
      </c>
      <c r="B25" t="inlineStr">
        <is>
          <t>くかい村</t>
        </is>
      </c>
      <c r="C25" t="inlineStr">
        <is>
          <t>村</t>
        </is>
      </c>
      <c r="D25" t="inlineStr">
        <is>
          <t>24.7957754</t>
        </is>
      </c>
      <c r="E25" t="inlineStr">
        <is>
          <t>125.2670344</t>
        </is>
      </c>
      <c r="F25" t="inlineStr">
        <is>
          <t>正保琉球国八山島絵図</t>
        </is>
      </c>
      <c r="G25" t="inlineStr">
        <is>
          <t>弐百五十四石余</t>
        </is>
      </c>
      <c r="H25" t="inlineStr"/>
      <c r="I25" t="inlineStr">
        <is>
          <t>〔19〕</t>
        </is>
      </c>
      <c r="J25" t="inlineStr"/>
      <c r="K25" t="inlineStr">
        <is>
          <t>沖縄県宮古島市平良久貝</t>
        </is>
      </c>
      <c r="L25" s="1">
        <f>HYPERLINK("https://www.hi.u-tokyo.ac.jp/collection/degitalgallary/ryukyu/item/30024", "https://www.hi.u-tokyo.ac.jp/collection/degitalgallary/ryukyu/item/30024")</f>
        <v/>
      </c>
    </row>
    <row r="26">
      <c r="A26" t="inlineStr">
        <is>
          <t>30025</t>
        </is>
      </c>
      <c r="B26" t="inlineStr">
        <is>
          <t>たらま嶋</t>
        </is>
      </c>
      <c r="C26" t="inlineStr">
        <is>
          <t>島</t>
        </is>
      </c>
      <c r="D26" t="inlineStr">
        <is>
          <t>24.6555311</t>
        </is>
      </c>
      <c r="E26" t="inlineStr">
        <is>
          <t>124.6967094</t>
        </is>
      </c>
      <c r="F26" t="inlineStr">
        <is>
          <t>正保琉球国八山島絵図</t>
        </is>
      </c>
      <c r="G26" t="inlineStr">
        <is>
          <t>三百卅八石余</t>
        </is>
      </c>
      <c r="H26" t="inlineStr"/>
      <c r="I26" t="inlineStr">
        <is>
          <t>〔20〕</t>
        </is>
      </c>
      <c r="J26" t="inlineStr"/>
      <c r="K26" t="inlineStr">
        <is>
          <t>沖縄県宮古郡多良間村仲筋</t>
        </is>
      </c>
      <c r="L26" s="1">
        <f>HYPERLINK("https://www.hi.u-tokyo.ac.jp/collection/degitalgallary/ryukyu/item/30025", "https://www.hi.u-tokyo.ac.jp/collection/degitalgallary/ryukyu/item/30025")</f>
        <v/>
      </c>
    </row>
    <row r="27">
      <c r="A27" t="inlineStr">
        <is>
          <t>30026</t>
        </is>
      </c>
      <c r="B27" t="inlineStr">
        <is>
          <t>川平間切之内きやか村</t>
        </is>
      </c>
      <c r="C27" t="inlineStr">
        <is>
          <t>村</t>
        </is>
      </c>
      <c r="D27" t="inlineStr"/>
      <c r="E27" t="inlineStr"/>
      <c r="F27" t="inlineStr">
        <is>
          <t>正保琉球国八山島絵図</t>
        </is>
      </c>
      <c r="G27" t="inlineStr">
        <is>
          <t>きやか村</t>
        </is>
      </c>
      <c r="H27" t="inlineStr"/>
      <c r="I27" t="inlineStr">
        <is>
          <t>〔21〕</t>
        </is>
      </c>
      <c r="J27" t="inlineStr"/>
      <c r="K27" t="inlineStr"/>
      <c r="L27" s="1">
        <f>HYPERLINK("https://www.hi.u-tokyo.ac.jp/collection/degitalgallary/ryukyu/item/30026", "https://www.hi.u-tokyo.ac.jp/collection/degitalgallary/ryukyu/item/30026")</f>
        <v/>
      </c>
    </row>
    <row r="28">
      <c r="A28" t="inlineStr">
        <is>
          <t>30027</t>
        </is>
      </c>
      <c r="B28" t="inlineStr">
        <is>
          <t>川平間切之内ふかい村</t>
        </is>
      </c>
      <c r="C28" t="inlineStr">
        <is>
          <t>村</t>
        </is>
      </c>
      <c r="D28" t="inlineStr"/>
      <c r="E28" t="inlineStr"/>
      <c r="F28" t="inlineStr">
        <is>
          <t>正保琉球国八山島絵図</t>
        </is>
      </c>
      <c r="G28" t="inlineStr">
        <is>
          <t>ふかい村</t>
        </is>
      </c>
      <c r="H28" t="inlineStr"/>
      <c r="I28" t="inlineStr">
        <is>
          <t>〔22〕</t>
        </is>
      </c>
      <c r="J28" t="inlineStr"/>
      <c r="K28" t="inlineStr"/>
      <c r="L28" s="1">
        <f>HYPERLINK("https://www.hi.u-tokyo.ac.jp/collection/degitalgallary/ryukyu/item/30027", "https://www.hi.u-tokyo.ac.jp/collection/degitalgallary/ryukyu/item/30027")</f>
        <v/>
      </c>
    </row>
    <row r="29">
      <c r="A29" t="inlineStr">
        <is>
          <t>30028</t>
        </is>
      </c>
      <c r="B29" t="inlineStr">
        <is>
          <t>川平間切之内中筋村</t>
        </is>
      </c>
      <c r="C29" t="inlineStr">
        <is>
          <t>村</t>
        </is>
      </c>
      <c r="D29" t="inlineStr"/>
      <c r="E29" t="inlineStr"/>
      <c r="F29" t="inlineStr">
        <is>
          <t>正保琉球国八山島絵図</t>
        </is>
      </c>
      <c r="G29" t="inlineStr">
        <is>
          <t>中筋村</t>
        </is>
      </c>
      <c r="H29" t="inlineStr"/>
      <c r="I29" t="inlineStr">
        <is>
          <t>〔23〕</t>
        </is>
      </c>
      <c r="J29" t="inlineStr"/>
      <c r="K29" t="inlineStr"/>
      <c r="L29" s="1">
        <f>HYPERLINK("https://www.hi.u-tokyo.ac.jp/collection/degitalgallary/ryukyu/item/30028", "https://www.hi.u-tokyo.ac.jp/collection/degitalgallary/ryukyu/item/30028")</f>
        <v/>
      </c>
    </row>
    <row r="30">
      <c r="A30" t="inlineStr">
        <is>
          <t>30029</t>
        </is>
      </c>
      <c r="B30" t="inlineStr">
        <is>
          <t>川平間切</t>
        </is>
      </c>
      <c r="C30" t="inlineStr">
        <is>
          <t>間切</t>
        </is>
      </c>
      <c r="D30" t="inlineStr"/>
      <c r="E30" t="inlineStr"/>
      <c r="F30" t="inlineStr">
        <is>
          <t>正保琉球国八山島絵図</t>
        </is>
      </c>
      <c r="G30" t="inlineStr">
        <is>
          <t>弐百四十二石余</t>
        </is>
      </c>
      <c r="H30" t="inlineStr"/>
      <c r="I30" t="inlineStr">
        <is>
          <t>〔24〕</t>
        </is>
      </c>
      <c r="J30" t="inlineStr">
        <is>
          <t>30020480000174500</t>
        </is>
      </c>
      <c r="K30" t="inlineStr"/>
      <c r="L30" s="1">
        <f>HYPERLINK("https://www.hi.u-tokyo.ac.jp/collection/degitalgallary/ryukyu/item/30029", "https://www.hi.u-tokyo.ac.jp/collection/degitalgallary/ryukyu/item/30029")</f>
        <v/>
      </c>
    </row>
    <row r="31">
      <c r="A31" t="inlineStr">
        <is>
          <t>30030</t>
        </is>
      </c>
      <c r="B31" t="inlineStr">
        <is>
          <t>石墻間切之内崎枝村</t>
        </is>
      </c>
      <c r="C31" t="inlineStr">
        <is>
          <t>村</t>
        </is>
      </c>
      <c r="D31" t="inlineStr"/>
      <c r="E31" t="inlineStr"/>
      <c r="F31" t="inlineStr">
        <is>
          <t>正保琉球国八山島絵図</t>
        </is>
      </c>
      <c r="G31" t="inlineStr">
        <is>
          <t>崎枝村</t>
        </is>
      </c>
      <c r="H31" t="inlineStr"/>
      <c r="I31" t="inlineStr">
        <is>
          <t>〔25〕</t>
        </is>
      </c>
      <c r="J31" t="inlineStr"/>
      <c r="K31" t="inlineStr"/>
      <c r="L31" s="1">
        <f>HYPERLINK("https://www.hi.u-tokyo.ac.jp/collection/degitalgallary/ryukyu/item/30030", "https://www.hi.u-tokyo.ac.jp/collection/degitalgallary/ryukyu/item/30030")</f>
        <v/>
      </c>
    </row>
    <row r="32">
      <c r="A32" t="inlineStr">
        <is>
          <t>30031</t>
        </is>
      </c>
      <c r="B32" t="inlineStr">
        <is>
          <t>石墻間切之内なくら村</t>
        </is>
      </c>
      <c r="C32" t="inlineStr">
        <is>
          <t>村</t>
        </is>
      </c>
      <c r="D32" t="inlineStr"/>
      <c r="E32" t="inlineStr"/>
      <c r="F32" t="inlineStr">
        <is>
          <t>正保琉球国八山島絵図</t>
        </is>
      </c>
      <c r="G32" t="inlineStr">
        <is>
          <t>なくら村</t>
        </is>
      </c>
      <c r="H32" t="inlineStr"/>
      <c r="I32" t="inlineStr">
        <is>
          <t>〔26〕</t>
        </is>
      </c>
      <c r="J32" t="inlineStr"/>
      <c r="K32" t="inlineStr"/>
      <c r="L32" s="1">
        <f>HYPERLINK("https://www.hi.u-tokyo.ac.jp/collection/degitalgallary/ryukyu/item/30031", "https://www.hi.u-tokyo.ac.jp/collection/degitalgallary/ryukyu/item/30031")</f>
        <v/>
      </c>
    </row>
    <row r="33">
      <c r="A33" t="inlineStr">
        <is>
          <t>30032</t>
        </is>
      </c>
      <c r="B33" t="inlineStr">
        <is>
          <t>石墻間切</t>
        </is>
      </c>
      <c r="C33" t="inlineStr">
        <is>
          <t>間切</t>
        </is>
      </c>
      <c r="D33" t="inlineStr"/>
      <c r="E33" t="inlineStr"/>
      <c r="F33" t="inlineStr">
        <is>
          <t>正保琉球国八山島絵図</t>
        </is>
      </c>
      <c r="G33" t="inlineStr">
        <is>
          <t>九百八十石余</t>
        </is>
      </c>
      <c r="H33" t="inlineStr"/>
      <c r="I33" t="inlineStr">
        <is>
          <t>〔27〕</t>
        </is>
      </c>
      <c r="J33" t="inlineStr"/>
      <c r="K33" t="inlineStr"/>
      <c r="L33" s="1">
        <f>HYPERLINK("https://www.hi.u-tokyo.ac.jp/collection/degitalgallary/ryukyu/item/30032", "https://www.hi.u-tokyo.ac.jp/collection/degitalgallary/ryukyu/item/30032")</f>
        <v/>
      </c>
    </row>
    <row r="34">
      <c r="A34" t="inlineStr">
        <is>
          <t>30033</t>
        </is>
      </c>
      <c r="B34" t="inlineStr">
        <is>
          <t>石墻間切之内殿城村</t>
        </is>
      </c>
      <c r="C34" t="inlineStr">
        <is>
          <t>村</t>
        </is>
      </c>
      <c r="D34" t="inlineStr"/>
      <c r="E34" t="inlineStr"/>
      <c r="F34" t="inlineStr">
        <is>
          <t>正保琉球国八山島絵図</t>
        </is>
      </c>
      <c r="G34" t="inlineStr">
        <is>
          <t>殿城村</t>
        </is>
      </c>
      <c r="H34" t="inlineStr"/>
      <c r="I34" t="inlineStr">
        <is>
          <t>〔28〕</t>
        </is>
      </c>
      <c r="J34" t="inlineStr"/>
      <c r="K34" t="inlineStr"/>
      <c r="L34" s="1">
        <f>HYPERLINK("https://www.hi.u-tokyo.ac.jp/collection/degitalgallary/ryukyu/item/30033", "https://www.hi.u-tokyo.ac.jp/collection/degitalgallary/ryukyu/item/30033")</f>
        <v/>
      </c>
    </row>
    <row r="35">
      <c r="A35" t="inlineStr">
        <is>
          <t>30034</t>
        </is>
      </c>
      <c r="B35" t="inlineStr">
        <is>
          <t>大浜間切</t>
        </is>
      </c>
      <c r="C35" t="inlineStr">
        <is>
          <t>間切</t>
        </is>
      </c>
      <c r="D35" t="inlineStr"/>
      <c r="E35" t="inlineStr"/>
      <c r="F35" t="inlineStr">
        <is>
          <t>正保琉球国八山島絵図</t>
        </is>
      </c>
      <c r="G35" t="inlineStr">
        <is>
          <t>千四拾四石余</t>
        </is>
      </c>
      <c r="H35" t="inlineStr"/>
      <c r="I35" t="inlineStr">
        <is>
          <t>〔29〕</t>
        </is>
      </c>
      <c r="J35" t="inlineStr">
        <is>
          <t>30020480000174300</t>
        </is>
      </c>
      <c r="K35" t="inlineStr"/>
      <c r="L35" s="1">
        <f>HYPERLINK("https://www.hi.u-tokyo.ac.jp/collection/degitalgallary/ryukyu/item/30034", "https://www.hi.u-tokyo.ac.jp/collection/degitalgallary/ryukyu/item/30034")</f>
        <v/>
      </c>
    </row>
    <row r="36">
      <c r="A36" t="inlineStr">
        <is>
          <t>30035</t>
        </is>
      </c>
      <c r="B36" t="inlineStr">
        <is>
          <t>宮良間切</t>
        </is>
      </c>
      <c r="C36" t="inlineStr">
        <is>
          <t>間切</t>
        </is>
      </c>
      <c r="D36" t="inlineStr"/>
      <c r="E36" t="inlineStr"/>
      <c r="F36" t="inlineStr">
        <is>
          <t>正保琉球国八山島絵図</t>
        </is>
      </c>
      <c r="G36" t="inlineStr">
        <is>
          <t>弐百七十石余</t>
        </is>
      </c>
      <c r="H36" t="inlineStr"/>
      <c r="I36" t="inlineStr">
        <is>
          <t>〔30〕</t>
        </is>
      </c>
      <c r="J36" t="inlineStr">
        <is>
          <t>30020480000174400</t>
        </is>
      </c>
      <c r="K36" t="inlineStr"/>
      <c r="L36" s="1">
        <f>HYPERLINK("https://www.hi.u-tokyo.ac.jp/collection/degitalgallary/ryukyu/item/30035", "https://www.hi.u-tokyo.ac.jp/collection/degitalgallary/ryukyu/item/30035")</f>
        <v/>
      </c>
    </row>
    <row r="37">
      <c r="A37" t="inlineStr">
        <is>
          <t>30036</t>
        </is>
      </c>
      <c r="B37" t="inlineStr">
        <is>
          <t>宮良間切之内しらほ村</t>
        </is>
      </c>
      <c r="C37" t="inlineStr">
        <is>
          <t>村</t>
        </is>
      </c>
      <c r="D37" t="inlineStr"/>
      <c r="E37" t="inlineStr"/>
      <c r="F37" t="inlineStr">
        <is>
          <t>正保琉球国八山島絵図</t>
        </is>
      </c>
      <c r="G37" t="inlineStr">
        <is>
          <t>しらほ村</t>
        </is>
      </c>
      <c r="H37" t="inlineStr"/>
      <c r="I37" t="inlineStr">
        <is>
          <t>〔31〕</t>
        </is>
      </c>
      <c r="J37" t="inlineStr"/>
      <c r="K37" t="inlineStr"/>
      <c r="L37" s="1">
        <f>HYPERLINK("https://www.hi.u-tokyo.ac.jp/collection/degitalgallary/ryukyu/item/30036", "https://www.hi.u-tokyo.ac.jp/collection/degitalgallary/ryukyu/item/30036")</f>
        <v/>
      </c>
    </row>
    <row r="38">
      <c r="A38" t="inlineStr">
        <is>
          <t>30037</t>
        </is>
      </c>
      <c r="B38" t="inlineStr">
        <is>
          <t>たけとみ嶋</t>
        </is>
      </c>
      <c r="C38" t="inlineStr">
        <is>
          <t>島</t>
        </is>
      </c>
      <c r="D38" t="inlineStr">
        <is>
          <t>24.3267023</t>
        </is>
      </c>
      <c r="E38" t="inlineStr">
        <is>
          <t>124.0893962</t>
        </is>
      </c>
      <c r="F38" t="inlineStr">
        <is>
          <t>正保琉球国八山島絵図</t>
        </is>
      </c>
      <c r="G38" t="inlineStr">
        <is>
          <t>五十弐石余</t>
        </is>
      </c>
      <c r="H38" t="inlineStr"/>
      <c r="I38" t="inlineStr">
        <is>
          <t>〔32〕</t>
        </is>
      </c>
      <c r="J38" t="inlineStr"/>
      <c r="K38" t="inlineStr">
        <is>
          <t>沖縄県八重山郡竹富町竹富</t>
        </is>
      </c>
      <c r="L38" s="1">
        <f>HYPERLINK("https://www.hi.u-tokyo.ac.jp/collection/degitalgallary/ryukyu/item/30037", "https://www.hi.u-tokyo.ac.jp/collection/degitalgallary/ryukyu/item/30037")</f>
        <v/>
      </c>
    </row>
    <row r="39">
      <c r="A39" t="inlineStr">
        <is>
          <t>30038</t>
        </is>
      </c>
      <c r="B39" t="inlineStr">
        <is>
          <t>黒嶋</t>
        </is>
      </c>
      <c r="C39" t="inlineStr">
        <is>
          <t>島</t>
        </is>
      </c>
      <c r="D39" t="inlineStr">
        <is>
          <t>24.2339257</t>
        </is>
      </c>
      <c r="E39" t="inlineStr">
        <is>
          <t>124.0140113</t>
        </is>
      </c>
      <c r="F39" t="inlineStr">
        <is>
          <t>正保琉球国八山島絵図</t>
        </is>
      </c>
      <c r="G39" t="inlineStr">
        <is>
          <t>弐百八十六石余</t>
        </is>
      </c>
      <c r="H39" t="inlineStr"/>
      <c r="I39" t="inlineStr">
        <is>
          <t>〔33〕</t>
        </is>
      </c>
      <c r="J39" t="inlineStr"/>
      <c r="K39" t="inlineStr">
        <is>
          <t>沖縄県八重山郡竹富町黒島</t>
        </is>
      </c>
      <c r="L39" s="1">
        <f>HYPERLINK("https://www.hi.u-tokyo.ac.jp/collection/degitalgallary/ryukyu/item/30038", "https://www.hi.u-tokyo.ac.jp/collection/degitalgallary/ryukyu/item/30038")</f>
        <v/>
      </c>
    </row>
    <row r="40">
      <c r="A40" t="inlineStr">
        <is>
          <t>30039</t>
        </is>
      </c>
      <c r="B40" t="inlineStr">
        <is>
          <t>波照間嶋</t>
        </is>
      </c>
      <c r="C40" t="inlineStr">
        <is>
          <t>島</t>
        </is>
      </c>
      <c r="D40" t="inlineStr">
        <is>
          <t>24.0631677</t>
        </is>
      </c>
      <c r="E40" t="inlineStr">
        <is>
          <t>123.7797054</t>
        </is>
      </c>
      <c r="F40" t="inlineStr">
        <is>
          <t>正保琉球国八山島絵図</t>
        </is>
      </c>
      <c r="G40" t="inlineStr">
        <is>
          <t>四百廿七石余</t>
        </is>
      </c>
      <c r="H40" t="inlineStr"/>
      <c r="I40" t="inlineStr">
        <is>
          <t>〔34〕</t>
        </is>
      </c>
      <c r="J40" t="inlineStr"/>
      <c r="K40" t="inlineStr">
        <is>
          <t>沖縄県八重山郡竹富町波照間</t>
        </is>
      </c>
      <c r="L40" s="1">
        <f>HYPERLINK("https://www.hi.u-tokyo.ac.jp/collection/degitalgallary/ryukyu/item/30039", "https://www.hi.u-tokyo.ac.jp/collection/degitalgallary/ryukyu/item/30039")</f>
        <v/>
      </c>
    </row>
    <row r="41">
      <c r="A41" t="inlineStr">
        <is>
          <t>30040</t>
        </is>
      </c>
      <c r="B41" t="inlineStr">
        <is>
          <t>小浜嶋</t>
        </is>
      </c>
      <c r="C41" t="inlineStr">
        <is>
          <t>島</t>
        </is>
      </c>
      <c r="D41" t="inlineStr">
        <is>
          <t>24.3466078</t>
        </is>
      </c>
      <c r="E41" t="inlineStr">
        <is>
          <t>123.9805756</t>
        </is>
      </c>
      <c r="F41" t="inlineStr">
        <is>
          <t>正保琉球国八山島絵図</t>
        </is>
      </c>
      <c r="G41" t="inlineStr">
        <is>
          <t>弐百七十四石余</t>
        </is>
      </c>
      <c r="H41" t="inlineStr"/>
      <c r="I41" t="inlineStr">
        <is>
          <t>〔35〕</t>
        </is>
      </c>
      <c r="J41" t="inlineStr"/>
      <c r="K41" t="inlineStr">
        <is>
          <t>沖縄県八重山郡竹富町小浜</t>
        </is>
      </c>
      <c r="L41" s="1">
        <f>HYPERLINK("https://www.hi.u-tokyo.ac.jp/collection/degitalgallary/ryukyu/item/30040", "https://www.hi.u-tokyo.ac.jp/collection/degitalgallary/ryukyu/item/30040")</f>
        <v/>
      </c>
    </row>
    <row r="42">
      <c r="A42" t="inlineStr">
        <is>
          <t>30041</t>
        </is>
      </c>
      <c r="B42" t="inlineStr">
        <is>
          <t>こみ間切之内ひけ川村</t>
        </is>
      </c>
      <c r="C42" t="inlineStr">
        <is>
          <t>村</t>
        </is>
      </c>
      <c r="D42" t="inlineStr"/>
      <c r="E42" t="inlineStr"/>
      <c r="F42" t="inlineStr">
        <is>
          <t>正保琉球国八山島絵図</t>
        </is>
      </c>
      <c r="G42" t="inlineStr">
        <is>
          <t>ひけ川村</t>
        </is>
      </c>
      <c r="H42" t="inlineStr"/>
      <c r="I42" t="inlineStr">
        <is>
          <t>〔36〕</t>
        </is>
      </c>
      <c r="J42" t="inlineStr"/>
      <c r="K42" t="inlineStr"/>
      <c r="L42" s="1">
        <f>HYPERLINK("https://www.hi.u-tokyo.ac.jp/collection/degitalgallary/ryukyu/item/30041", "https://www.hi.u-tokyo.ac.jp/collection/degitalgallary/ryukyu/item/30041")</f>
        <v/>
      </c>
    </row>
    <row r="43">
      <c r="A43" t="inlineStr">
        <is>
          <t>30042</t>
        </is>
      </c>
      <c r="B43" t="inlineStr">
        <is>
          <t>こみ間切之内平川村</t>
        </is>
      </c>
      <c r="C43" t="inlineStr">
        <is>
          <t>村</t>
        </is>
      </c>
      <c r="D43" t="inlineStr">
        <is>
          <t>24.3691646</t>
        </is>
      </c>
      <c r="E43" t="inlineStr">
        <is>
          <t>123.8913539</t>
        </is>
      </c>
      <c r="F43" t="inlineStr">
        <is>
          <t>正保琉球国八山島絵図</t>
        </is>
      </c>
      <c r="G43" t="inlineStr">
        <is>
          <t>平川村</t>
        </is>
      </c>
      <c r="H43" t="inlineStr"/>
      <c r="I43" t="inlineStr">
        <is>
          <t>〔37〕</t>
        </is>
      </c>
      <c r="J43" t="inlineStr"/>
      <c r="K43" t="inlineStr">
        <is>
          <t>沖縄県八重山郡竹富町高那</t>
        </is>
      </c>
      <c r="L43" s="1">
        <f>HYPERLINK("https://www.hi.u-tokyo.ac.jp/collection/degitalgallary/ryukyu/item/30042", "https://www.hi.u-tokyo.ac.jp/collection/degitalgallary/ryukyu/item/30042")</f>
        <v/>
      </c>
    </row>
    <row r="44">
      <c r="A44" t="inlineStr">
        <is>
          <t>30043</t>
        </is>
      </c>
      <c r="B44" t="inlineStr">
        <is>
          <t>こみ間切之内平西村</t>
        </is>
      </c>
      <c r="C44" t="inlineStr">
        <is>
          <t>村</t>
        </is>
      </c>
      <c r="D44" t="inlineStr"/>
      <c r="E44" t="inlineStr"/>
      <c r="F44" t="inlineStr">
        <is>
          <t>正保琉球国八山島絵図</t>
        </is>
      </c>
      <c r="G44" t="inlineStr">
        <is>
          <t>平西村</t>
        </is>
      </c>
      <c r="H44" t="inlineStr"/>
      <c r="I44" t="inlineStr">
        <is>
          <t>〔38〕</t>
        </is>
      </c>
      <c r="J44" t="inlineStr"/>
      <c r="K44" t="inlineStr"/>
      <c r="L44" s="1">
        <f>HYPERLINK("https://www.hi.u-tokyo.ac.jp/collection/degitalgallary/ryukyu/item/30043", "https://www.hi.u-tokyo.ac.jp/collection/degitalgallary/ryukyu/item/30043")</f>
        <v/>
      </c>
    </row>
    <row r="45">
      <c r="A45" t="inlineStr">
        <is>
          <t>30044</t>
        </is>
      </c>
      <c r="B45" t="inlineStr">
        <is>
          <t>こみ間切</t>
        </is>
      </c>
      <c r="C45" t="inlineStr">
        <is>
          <t>間切</t>
        </is>
      </c>
      <c r="D45" t="inlineStr"/>
      <c r="E45" t="inlineStr"/>
      <c r="F45" t="inlineStr">
        <is>
          <t>正保琉球国八山島絵図</t>
        </is>
      </c>
      <c r="G45" t="inlineStr">
        <is>
          <t>千九百九十六石余</t>
        </is>
      </c>
      <c r="H45" t="inlineStr"/>
      <c r="I45" t="inlineStr">
        <is>
          <t>〔39〕</t>
        </is>
      </c>
      <c r="J45" t="inlineStr"/>
      <c r="K45" t="inlineStr"/>
      <c r="L45" s="1">
        <f>HYPERLINK("https://www.hi.u-tokyo.ac.jp/collection/degitalgallary/ryukyu/item/30044", "https://www.hi.u-tokyo.ac.jp/collection/degitalgallary/ryukyu/item/30044")</f>
        <v/>
      </c>
    </row>
    <row r="46">
      <c r="A46" t="inlineStr">
        <is>
          <t>30045</t>
        </is>
      </c>
      <c r="B46" t="inlineStr">
        <is>
          <t>こみ間切之内三ツ離村</t>
        </is>
      </c>
      <c r="C46" t="inlineStr">
        <is>
          <t>村</t>
        </is>
      </c>
      <c r="D46" t="inlineStr"/>
      <c r="E46" t="inlineStr"/>
      <c r="F46" t="inlineStr">
        <is>
          <t>正保琉球国八山島絵図</t>
        </is>
      </c>
      <c r="G46" t="inlineStr">
        <is>
          <t>三ツ離村</t>
        </is>
      </c>
      <c r="H46" t="inlineStr"/>
      <c r="I46" t="inlineStr">
        <is>
          <t>〔40〕</t>
        </is>
      </c>
      <c r="J46" t="inlineStr"/>
      <c r="K46" t="inlineStr"/>
      <c r="L46" s="1">
        <f>HYPERLINK("https://www.hi.u-tokyo.ac.jp/collection/degitalgallary/ryukyu/item/30045", "https://www.hi.u-tokyo.ac.jp/collection/degitalgallary/ryukyu/item/30045")</f>
        <v/>
      </c>
    </row>
    <row r="47">
      <c r="A47" t="inlineStr">
        <is>
          <t>30046</t>
        </is>
      </c>
      <c r="B47" t="inlineStr">
        <is>
          <t>こみ間切之内崎枝村</t>
        </is>
      </c>
      <c r="C47" t="inlineStr">
        <is>
          <t>村</t>
        </is>
      </c>
      <c r="D47" t="inlineStr"/>
      <c r="E47" t="inlineStr"/>
      <c r="F47" t="inlineStr">
        <is>
          <t>正保琉球国八山島絵図</t>
        </is>
      </c>
      <c r="G47" t="inlineStr">
        <is>
          <t>崎枝村</t>
        </is>
      </c>
      <c r="H47" t="inlineStr"/>
      <c r="I47" t="inlineStr">
        <is>
          <t>〔41〕</t>
        </is>
      </c>
      <c r="J47" t="inlineStr"/>
      <c r="K47" t="inlineStr"/>
      <c r="L47" s="1">
        <f>HYPERLINK("https://www.hi.u-tokyo.ac.jp/collection/degitalgallary/ryukyu/item/30046", "https://www.hi.u-tokyo.ac.jp/collection/degitalgallary/ryukyu/item/30046")</f>
        <v/>
      </c>
    </row>
    <row r="48">
      <c r="A48" t="inlineStr">
        <is>
          <t>30047</t>
        </is>
      </c>
      <c r="B48" t="inlineStr">
        <is>
          <t>入表間切之内浦内村</t>
        </is>
      </c>
      <c r="C48" t="inlineStr">
        <is>
          <t>村</t>
        </is>
      </c>
      <c r="D48" t="inlineStr">
        <is>
          <t>24.4128858</t>
        </is>
      </c>
      <c r="E48" t="inlineStr">
        <is>
          <t>123.77152</t>
        </is>
      </c>
      <c r="F48" t="inlineStr">
        <is>
          <t>正保琉球国八山島絵図</t>
        </is>
      </c>
      <c r="G48" t="inlineStr">
        <is>
          <t>浦内村</t>
        </is>
      </c>
      <c r="H48" t="inlineStr"/>
      <c r="I48" t="inlineStr">
        <is>
          <t>〔42〕</t>
        </is>
      </c>
      <c r="J48" t="inlineStr"/>
      <c r="K48" t="inlineStr">
        <is>
          <t>沖縄県八重山郡竹富町西表</t>
        </is>
      </c>
      <c r="L48" s="1">
        <f>HYPERLINK("https://www.hi.u-tokyo.ac.jp/collection/degitalgallary/ryukyu/item/30047", "https://www.hi.u-tokyo.ac.jp/collection/degitalgallary/ryukyu/item/30047")</f>
        <v/>
      </c>
    </row>
    <row r="49">
      <c r="A49" t="inlineStr">
        <is>
          <t>30048</t>
        </is>
      </c>
      <c r="B49" t="inlineStr">
        <is>
          <t>入表間切之内たから村</t>
        </is>
      </c>
      <c r="C49" t="inlineStr">
        <is>
          <t>村</t>
        </is>
      </c>
      <c r="D49" t="inlineStr">
        <is>
          <t>24.4128858</t>
        </is>
      </c>
      <c r="E49" t="inlineStr">
        <is>
          <t>123.77152</t>
        </is>
      </c>
      <c r="F49" t="inlineStr">
        <is>
          <t>正保琉球国八山島絵図</t>
        </is>
      </c>
      <c r="G49" t="inlineStr">
        <is>
          <t>たから村</t>
        </is>
      </c>
      <c r="H49" t="inlineStr"/>
      <c r="I49" t="inlineStr">
        <is>
          <t>〔43〕</t>
        </is>
      </c>
      <c r="J49" t="inlineStr"/>
      <c r="K49" t="inlineStr">
        <is>
          <t>沖縄県八重山郡竹富町西表</t>
        </is>
      </c>
      <c r="L49" s="1">
        <f>HYPERLINK("https://www.hi.u-tokyo.ac.jp/collection/degitalgallary/ryukyu/item/30048", "https://www.hi.u-tokyo.ac.jp/collection/degitalgallary/ryukyu/item/30048")</f>
        <v/>
      </c>
    </row>
    <row r="50">
      <c r="A50" t="inlineStr">
        <is>
          <t>30049</t>
        </is>
      </c>
      <c r="B50" t="inlineStr">
        <is>
          <t>入表間切之内ほし立村</t>
        </is>
      </c>
      <c r="C50" t="inlineStr">
        <is>
          <t>村</t>
        </is>
      </c>
      <c r="D50" t="inlineStr">
        <is>
          <t>24.3955831</t>
        </is>
      </c>
      <c r="E50" t="inlineStr">
        <is>
          <t>123.75448</t>
        </is>
      </c>
      <c r="F50" t="inlineStr">
        <is>
          <t>正保琉球国八山島絵図</t>
        </is>
      </c>
      <c r="G50" t="inlineStr">
        <is>
          <t>ほし立村</t>
        </is>
      </c>
      <c r="H50" t="inlineStr"/>
      <c r="I50" t="inlineStr">
        <is>
          <t>〔44〕</t>
        </is>
      </c>
      <c r="J50" t="inlineStr"/>
      <c r="K50" t="inlineStr">
        <is>
          <t>沖縄県八重山郡竹富町西表</t>
        </is>
      </c>
      <c r="L50" s="1">
        <f>HYPERLINK("https://www.hi.u-tokyo.ac.jp/collection/degitalgallary/ryukyu/item/30049", "https://www.hi.u-tokyo.ac.jp/collection/degitalgallary/ryukyu/item/30049")</f>
        <v/>
      </c>
    </row>
    <row r="51">
      <c r="A51" t="inlineStr">
        <is>
          <t>30050</t>
        </is>
      </c>
      <c r="B51" t="inlineStr">
        <is>
          <t>入表間切</t>
        </is>
      </c>
      <c r="C51" t="inlineStr">
        <is>
          <t>間切</t>
        </is>
      </c>
      <c r="D51" t="inlineStr"/>
      <c r="E51" t="inlineStr"/>
      <c r="F51" t="inlineStr">
        <is>
          <t>正保琉球国八山島絵図</t>
        </is>
      </c>
      <c r="G51" t="inlineStr">
        <is>
          <t>千拾四石余</t>
        </is>
      </c>
      <c r="H51" t="inlineStr"/>
      <c r="I51" t="inlineStr">
        <is>
          <t>〔45〕</t>
        </is>
      </c>
      <c r="J51" t="inlineStr">
        <is>
          <t>30020480000183000</t>
        </is>
      </c>
      <c r="K51" t="inlineStr"/>
      <c r="L51" s="1">
        <f>HYPERLINK("https://www.hi.u-tokyo.ac.jp/collection/degitalgallary/ryukyu/item/30050", "https://www.hi.u-tokyo.ac.jp/collection/degitalgallary/ryukyu/item/30050")</f>
        <v/>
      </c>
    </row>
    <row r="52">
      <c r="A52" t="inlineStr">
        <is>
          <t>30051</t>
        </is>
      </c>
      <c r="B52" t="inlineStr">
        <is>
          <t>入表間切之内なるや村</t>
        </is>
      </c>
      <c r="C52" t="inlineStr">
        <is>
          <t>村</t>
        </is>
      </c>
      <c r="D52" t="inlineStr">
        <is>
          <t>24.3192399</t>
        </is>
      </c>
      <c r="E52" t="inlineStr">
        <is>
          <t>123.7503921</t>
        </is>
      </c>
      <c r="F52" t="inlineStr">
        <is>
          <t>正保琉球国八山島絵図</t>
        </is>
      </c>
      <c r="G52" t="inlineStr">
        <is>
          <t>なるや村</t>
        </is>
      </c>
      <c r="H52" t="inlineStr"/>
      <c r="I52" t="inlineStr">
        <is>
          <t>〔46〕</t>
        </is>
      </c>
      <c r="J52" t="inlineStr"/>
      <c r="K52" t="inlineStr">
        <is>
          <t>沖縄県八重山郡竹富町西表</t>
        </is>
      </c>
      <c r="L52" s="1">
        <f>HYPERLINK("https://www.hi.u-tokyo.ac.jp/collection/degitalgallary/ryukyu/item/30051", "https://www.hi.u-tokyo.ac.jp/collection/degitalgallary/ryukyu/item/30051")</f>
        <v/>
      </c>
    </row>
    <row r="53">
      <c r="A53" t="inlineStr">
        <is>
          <t>30052</t>
        </is>
      </c>
      <c r="B53" t="inlineStr">
        <is>
          <t>入表間切之内ふなうけ村</t>
        </is>
      </c>
      <c r="C53" t="inlineStr">
        <is>
          <t>村</t>
        </is>
      </c>
      <c r="D53" t="inlineStr"/>
      <c r="E53" t="inlineStr"/>
      <c r="F53" t="inlineStr">
        <is>
          <t>正保琉球国八山島絵図</t>
        </is>
      </c>
      <c r="G53" t="inlineStr">
        <is>
          <t>ふなうけ村</t>
        </is>
      </c>
      <c r="H53" t="inlineStr"/>
      <c r="I53" t="inlineStr">
        <is>
          <t>〔47〕</t>
        </is>
      </c>
      <c r="J53" t="inlineStr"/>
      <c r="K53" t="inlineStr"/>
      <c r="L53" s="1">
        <f>HYPERLINK("https://www.hi.u-tokyo.ac.jp/collection/degitalgallary/ryukyu/item/30052", "https://www.hi.u-tokyo.ac.jp/collection/degitalgallary/ryukyu/item/30052")</f>
        <v/>
      </c>
    </row>
    <row r="54">
      <c r="A54" t="inlineStr">
        <is>
          <t>30053</t>
        </is>
      </c>
      <c r="B54" t="inlineStr">
        <is>
          <t>入表間切之内かの川村</t>
        </is>
      </c>
      <c r="C54" t="inlineStr">
        <is>
          <t>村</t>
        </is>
      </c>
      <c r="D54" t="inlineStr"/>
      <c r="E54" t="inlineStr"/>
      <c r="F54" t="inlineStr">
        <is>
          <t>正保琉球国八山島絵図</t>
        </is>
      </c>
      <c r="G54" t="inlineStr">
        <is>
          <t>かの川村</t>
        </is>
      </c>
      <c r="H54" t="inlineStr"/>
      <c r="I54" t="inlineStr">
        <is>
          <t>〔48〕</t>
        </is>
      </c>
      <c r="J54" t="inlineStr"/>
      <c r="K54" t="inlineStr"/>
      <c r="L54" s="1">
        <f>HYPERLINK("https://www.hi.u-tokyo.ac.jp/collection/degitalgallary/ryukyu/item/30053", "https://www.hi.u-tokyo.ac.jp/collection/degitalgallary/ryukyu/item/30053")</f>
        <v/>
      </c>
    </row>
    <row r="55">
      <c r="A55" t="inlineStr">
        <is>
          <t>30054</t>
        </is>
      </c>
      <c r="B55" t="inlineStr">
        <is>
          <t>入表間切之内あミとり村</t>
        </is>
      </c>
      <c r="C55" t="inlineStr">
        <is>
          <t>村</t>
        </is>
      </c>
      <c r="D55" t="inlineStr"/>
      <c r="E55" t="inlineStr"/>
      <c r="F55" t="inlineStr">
        <is>
          <t>正保琉球国八山島絵図</t>
        </is>
      </c>
      <c r="G55" t="inlineStr">
        <is>
          <t>あミとり村</t>
        </is>
      </c>
      <c r="H55" t="inlineStr"/>
      <c r="I55" t="inlineStr">
        <is>
          <t>〔49〕</t>
        </is>
      </c>
      <c r="J55" t="inlineStr"/>
      <c r="K55" t="inlineStr"/>
      <c r="L55" s="1">
        <f>HYPERLINK("https://www.hi.u-tokyo.ac.jp/collection/degitalgallary/ryukyu/item/30054", "https://www.hi.u-tokyo.ac.jp/collection/degitalgallary/ryukyu/item/30054")</f>
        <v/>
      </c>
    </row>
    <row r="56">
      <c r="A56" t="inlineStr">
        <is>
          <t>30055</t>
        </is>
      </c>
      <c r="B56" t="inlineStr">
        <is>
          <t>与那国嶋</t>
        </is>
      </c>
      <c r="C56" t="inlineStr">
        <is>
          <t>島</t>
        </is>
      </c>
      <c r="D56" t="inlineStr">
        <is>
          <t>24.4560321</t>
        </is>
      </c>
      <c r="E56" t="inlineStr">
        <is>
          <t>122.9944636</t>
        </is>
      </c>
      <c r="F56" t="inlineStr">
        <is>
          <t>正保琉球国八山島絵図</t>
        </is>
      </c>
      <c r="G56" t="inlineStr">
        <is>
          <t>三百廿二石余</t>
        </is>
      </c>
      <c r="H56" t="inlineStr"/>
      <c r="I56" t="inlineStr">
        <is>
          <t>〔50〕</t>
        </is>
      </c>
      <c r="J56" t="inlineStr"/>
      <c r="K56" t="inlineStr">
        <is>
          <t>沖縄県八重山郡与那国町</t>
        </is>
      </c>
      <c r="L56" s="1">
        <f>HYPERLINK("https://www.hi.u-tokyo.ac.jp/collection/degitalgallary/ryukyu/item/30055", "https://www.hi.u-tokyo.ac.jp/collection/degitalgallary/ryukyu/item/30055")</f>
        <v/>
      </c>
    </row>
    <row r="57">
      <c r="A57" t="inlineStr">
        <is>
          <t>30056</t>
        </is>
      </c>
      <c r="B57" t="inlineStr">
        <is>
          <t>（合印）</t>
        </is>
      </c>
      <c r="C57" t="inlineStr">
        <is>
          <t>その他</t>
        </is>
      </c>
      <c r="D57" t="inlineStr"/>
      <c r="E57" t="inlineStr"/>
      <c r="F57" t="inlineStr">
        <is>
          <t>正保琉球国八山島絵図</t>
        </is>
      </c>
      <c r="G57" t="inlineStr"/>
      <c r="H57" t="inlineStr">
        <is>
          <t>◇◇</t>
        </is>
      </c>
      <c r="I57" t="inlineStr"/>
      <c r="J57" t="inlineStr"/>
      <c r="K57" t="inlineStr"/>
      <c r="L57" s="1">
        <f>HYPERLINK("https://www.hi.u-tokyo.ac.jp/collection/degitalgallary/ryukyu/item/30056", "https://www.hi.u-tokyo.ac.jp/collection/degitalgallary/ryukyu/item/30056")</f>
        <v/>
      </c>
    </row>
    <row r="58">
      <c r="A58" t="inlineStr">
        <is>
          <t>30057</t>
        </is>
      </c>
      <c r="B58" t="inlineStr">
        <is>
          <t>悪鬼納嶋之内赤嶋ヨリ宮古嶋はり水迄、海上七十五里未申ノ方ニ当ル</t>
        </is>
      </c>
      <c r="C58" t="inlineStr">
        <is>
          <t>航路</t>
        </is>
      </c>
      <c r="D58" t="inlineStr"/>
      <c r="E58" t="inlineStr"/>
      <c r="F58" t="inlineStr">
        <is>
          <t>正保琉球国八山島絵図</t>
        </is>
      </c>
      <c r="G58" t="inlineStr"/>
      <c r="H58" t="inlineStr"/>
      <c r="I58" t="inlineStr">
        <is>
          <t>1</t>
        </is>
      </c>
      <c r="J58" t="inlineStr"/>
      <c r="K58" t="inlineStr"/>
      <c r="L58" s="1">
        <f>HYPERLINK("https://www.hi.u-tokyo.ac.jp/collection/degitalgallary/ryukyu/item/30057", "https://www.hi.u-tokyo.ac.jp/collection/degitalgallary/ryukyu/item/30057")</f>
        <v/>
      </c>
    </row>
    <row r="59">
      <c r="A59" t="inlineStr">
        <is>
          <t>30058</t>
        </is>
      </c>
      <c r="B59" t="inlineStr">
        <is>
          <t>瀬崎</t>
        </is>
      </c>
      <c r="C59" t="inlineStr">
        <is>
          <t>崎</t>
        </is>
      </c>
      <c r="D59" t="inlineStr"/>
      <c r="E59" t="inlineStr"/>
      <c r="F59" t="inlineStr">
        <is>
          <t>正保琉球国八山島絵図</t>
        </is>
      </c>
      <c r="G59" t="inlineStr"/>
      <c r="H59" t="inlineStr"/>
      <c r="I59" t="inlineStr">
        <is>
          <t>2</t>
        </is>
      </c>
      <c r="J59" t="inlineStr"/>
      <c r="K59" t="inlineStr"/>
      <c r="L59" s="1">
        <f>HYPERLINK("https://www.hi.u-tokyo.ac.jp/collection/degitalgallary/ryukyu/item/30058", "https://www.hi.u-tokyo.ac.jp/collection/degitalgallary/ryukyu/item/30058")</f>
        <v/>
      </c>
    </row>
    <row r="60">
      <c r="A60" t="inlineStr">
        <is>
          <t>30059</t>
        </is>
      </c>
      <c r="B60" t="inlineStr">
        <is>
          <t>八重干瀬南北五里</t>
        </is>
      </c>
      <c r="C60" t="inlineStr">
        <is>
          <t>干瀬</t>
        </is>
      </c>
      <c r="D60" t="inlineStr"/>
      <c r="E60" t="inlineStr"/>
      <c r="F60" t="inlineStr">
        <is>
          <t>正保琉球国八山島絵図</t>
        </is>
      </c>
      <c r="G60" t="inlineStr">
        <is>
          <t>東西一里半</t>
        </is>
      </c>
      <c r="H60" t="inlineStr"/>
      <c r="I60" t="inlineStr">
        <is>
          <t>3</t>
        </is>
      </c>
      <c r="J60" t="inlineStr"/>
      <c r="K60" t="inlineStr"/>
      <c r="L60" s="1">
        <f>HYPERLINK("https://www.hi.u-tokyo.ac.jp/collection/degitalgallary/ryukyu/item/30059", "https://www.hi.u-tokyo.ac.jp/collection/degitalgallary/ryukyu/item/30059")</f>
        <v/>
      </c>
    </row>
    <row r="61">
      <c r="A61" t="inlineStr">
        <is>
          <t>30060</t>
        </is>
      </c>
      <c r="B61" t="inlineStr">
        <is>
          <t>筆のおかみ</t>
        </is>
      </c>
      <c r="C61" t="inlineStr">
        <is>
          <t>その他</t>
        </is>
      </c>
      <c r="D61" t="inlineStr"/>
      <c r="E61" t="inlineStr"/>
      <c r="F61" t="inlineStr">
        <is>
          <t>正保琉球国八山島絵図</t>
        </is>
      </c>
      <c r="G61" t="inlineStr"/>
      <c r="H61" t="inlineStr"/>
      <c r="I61" t="inlineStr">
        <is>
          <t>4</t>
        </is>
      </c>
      <c r="J61" t="inlineStr"/>
      <c r="K61" t="inlineStr"/>
      <c r="L61" s="1">
        <f>HYPERLINK("https://www.hi.u-tokyo.ac.jp/collection/degitalgallary/ryukyu/item/30060", "https://www.hi.u-tokyo.ac.jp/collection/degitalgallary/ryukyu/item/30060")</f>
        <v/>
      </c>
    </row>
    <row r="62">
      <c r="A62" t="inlineStr">
        <is>
          <t>30061</t>
        </is>
      </c>
      <c r="B62" t="inlineStr">
        <is>
          <t>悪鬼納嶋之内赤嶋ヨリ宮古島はり水迄、海上七十五里未申ノ方ニ当ル</t>
        </is>
      </c>
      <c r="C62" t="inlineStr">
        <is>
          <t>航路</t>
        </is>
      </c>
      <c r="D62" t="inlineStr"/>
      <c r="E62" t="inlineStr"/>
      <c r="F62" t="inlineStr">
        <is>
          <t>正保琉球国八山島絵図</t>
        </is>
      </c>
      <c r="G62" t="inlineStr"/>
      <c r="H62" t="inlineStr"/>
      <c r="I62" t="inlineStr">
        <is>
          <t>5</t>
        </is>
      </c>
      <c r="J62" t="inlineStr"/>
      <c r="K62" t="inlineStr"/>
      <c r="L62" s="1">
        <f>HYPERLINK("https://www.hi.u-tokyo.ac.jp/collection/degitalgallary/ryukyu/item/30061", "https://www.hi.u-tokyo.ac.jp/collection/degitalgallary/ryukyu/item/30061")</f>
        <v/>
      </c>
    </row>
    <row r="63">
      <c r="A63" t="inlineStr">
        <is>
          <t>30062</t>
        </is>
      </c>
      <c r="B63" t="inlineStr">
        <is>
          <t>いけま嶋</t>
        </is>
      </c>
      <c r="C63" t="inlineStr">
        <is>
          <t>島</t>
        </is>
      </c>
      <c r="D63" t="inlineStr">
        <is>
          <t>24.930518</t>
        </is>
      </c>
      <c r="E63" t="inlineStr">
        <is>
          <t>125.2450647</t>
        </is>
      </c>
      <c r="F63" t="inlineStr">
        <is>
          <t>正保琉球国八山島絵図</t>
        </is>
      </c>
      <c r="G63" t="inlineStr">
        <is>
          <t>宮古嶋之内
人居有り
嶋廻壱里八町</t>
        </is>
      </c>
      <c r="H63" t="inlineStr"/>
      <c r="I63" t="inlineStr">
        <is>
          <t>6</t>
        </is>
      </c>
      <c r="J63" t="inlineStr"/>
      <c r="K63" t="inlineStr">
        <is>
          <t>沖縄県宮古島市平良池間</t>
        </is>
      </c>
      <c r="L63" s="1">
        <f>HYPERLINK("https://www.hi.u-tokyo.ac.jp/collection/degitalgallary/ryukyu/item/30062", "https://www.hi.u-tokyo.ac.jp/collection/degitalgallary/ryukyu/item/30062")</f>
        <v/>
      </c>
    </row>
    <row r="64">
      <c r="A64" t="inlineStr">
        <is>
          <t>30063</t>
        </is>
      </c>
      <c r="B64" t="inlineStr">
        <is>
          <t>さゝれ崎</t>
        </is>
      </c>
      <c r="C64" t="inlineStr">
        <is>
          <t>崎</t>
        </is>
      </c>
      <c r="D64" t="inlineStr">
        <is>
          <t>24.9351455</t>
        </is>
      </c>
      <c r="E64" t="inlineStr">
        <is>
          <t>125.2315252</t>
        </is>
      </c>
      <c r="F64" t="inlineStr">
        <is>
          <t>正保琉球国八山島絵図</t>
        </is>
      </c>
      <c r="G64" t="inlineStr"/>
      <c r="H64" t="inlineStr"/>
      <c r="I64" t="inlineStr">
        <is>
          <t>7</t>
        </is>
      </c>
      <c r="J64" t="inlineStr"/>
      <c r="K64" t="inlineStr">
        <is>
          <t>沖縄県宮古島市平良前里</t>
        </is>
      </c>
      <c r="L64" s="1">
        <f>HYPERLINK("https://www.hi.u-tokyo.ac.jp/collection/degitalgallary/ryukyu/item/30063", "https://www.hi.u-tokyo.ac.jp/collection/degitalgallary/ryukyu/item/30063")</f>
        <v/>
      </c>
    </row>
    <row r="65">
      <c r="A65" t="inlineStr">
        <is>
          <t>30064</t>
        </is>
      </c>
      <c r="B65" t="inlineStr">
        <is>
          <t>おな崎</t>
        </is>
      </c>
      <c r="C65" t="inlineStr">
        <is>
          <t>崎</t>
        </is>
      </c>
      <c r="D65" t="inlineStr">
        <is>
          <t>24.9204855</t>
        </is>
      </c>
      <c r="E65" t="inlineStr">
        <is>
          <t>125.2483394</t>
        </is>
      </c>
      <c r="F65" t="inlineStr">
        <is>
          <t>正保琉球国八山島絵図</t>
        </is>
      </c>
      <c r="G65" t="inlineStr"/>
      <c r="H65" t="inlineStr"/>
      <c r="I65" t="inlineStr">
        <is>
          <t>8</t>
        </is>
      </c>
      <c r="J65" t="inlineStr"/>
      <c r="K65" t="inlineStr">
        <is>
          <t>沖縄県宮古島市平良池間</t>
        </is>
      </c>
      <c r="L65" s="1">
        <f>HYPERLINK("https://www.hi.u-tokyo.ac.jp/collection/degitalgallary/ryukyu/item/30064", "https://www.hi.u-tokyo.ac.jp/collection/degitalgallary/ryukyu/item/30064")</f>
        <v/>
      </c>
    </row>
    <row r="66">
      <c r="A66" t="inlineStr">
        <is>
          <t>30065</t>
        </is>
      </c>
      <c r="B66" t="inlineStr">
        <is>
          <t>まさか崎</t>
        </is>
      </c>
      <c r="C66" t="inlineStr">
        <is>
          <t>崎</t>
        </is>
      </c>
      <c r="D66" t="inlineStr">
        <is>
          <t>24.9253777</t>
        </is>
      </c>
      <c r="E66" t="inlineStr">
        <is>
          <t>125.2544853</t>
        </is>
      </c>
      <c r="F66" t="inlineStr">
        <is>
          <t>正保琉球国八山島絵図</t>
        </is>
      </c>
      <c r="G66" t="inlineStr"/>
      <c r="H66" t="inlineStr"/>
      <c r="I66" t="inlineStr">
        <is>
          <t>9</t>
        </is>
      </c>
      <c r="J66" t="inlineStr"/>
      <c r="K66" t="inlineStr">
        <is>
          <t>沖縄県宮古島市平良池間</t>
        </is>
      </c>
      <c r="L66" s="1">
        <f>HYPERLINK("https://www.hi.u-tokyo.ac.jp/collection/degitalgallary/ryukyu/item/30065", "https://www.hi.u-tokyo.ac.jp/collection/degitalgallary/ryukyu/item/30065")</f>
        <v/>
      </c>
    </row>
    <row r="67">
      <c r="A67" t="inlineStr">
        <is>
          <t>30066</t>
        </is>
      </c>
      <c r="B67" t="inlineStr">
        <is>
          <t>海上二十町</t>
        </is>
      </c>
      <c r="C67" t="inlineStr">
        <is>
          <t>航路</t>
        </is>
      </c>
      <c r="D67" t="inlineStr"/>
      <c r="E67" t="inlineStr"/>
      <c r="F67" t="inlineStr">
        <is>
          <t>正保琉球国八山島絵図</t>
        </is>
      </c>
      <c r="G67" t="inlineStr"/>
      <c r="H67" t="inlineStr"/>
      <c r="I67" t="inlineStr">
        <is>
          <t>10</t>
        </is>
      </c>
      <c r="J67" t="inlineStr"/>
      <c r="K67" t="inlineStr"/>
      <c r="L67" s="1">
        <f>HYPERLINK("https://www.hi.u-tokyo.ac.jp/collection/degitalgallary/ryukyu/item/30066", "https://www.hi.u-tokyo.ac.jp/collection/degitalgallary/ryukyu/item/30066")</f>
        <v/>
      </c>
    </row>
    <row r="68">
      <c r="A68" t="inlineStr">
        <is>
          <t>30067</t>
        </is>
      </c>
      <c r="B68" t="inlineStr">
        <is>
          <t>ひやんな崎</t>
        </is>
      </c>
      <c r="C68" t="inlineStr">
        <is>
          <t>崎</t>
        </is>
      </c>
      <c r="D68" t="inlineStr">
        <is>
          <t>24.9101258</t>
        </is>
      </c>
      <c r="E68" t="inlineStr">
        <is>
          <t>125.2560255</t>
        </is>
      </c>
      <c r="F68" t="inlineStr">
        <is>
          <t>正保琉球国八山島絵図</t>
        </is>
      </c>
      <c r="G68" t="inlineStr"/>
      <c r="H68" t="inlineStr"/>
      <c r="I68" t="inlineStr">
        <is>
          <t>11</t>
        </is>
      </c>
      <c r="J68" t="inlineStr"/>
      <c r="K68" t="inlineStr">
        <is>
          <t>沖縄県宮古島市平良狩俣</t>
        </is>
      </c>
      <c r="L68" s="1">
        <f>HYPERLINK("https://www.hi.u-tokyo.ac.jp/collection/degitalgallary/ryukyu/item/30067", "https://www.hi.u-tokyo.ac.jp/collection/degitalgallary/ryukyu/item/30067")</f>
        <v/>
      </c>
    </row>
    <row r="69">
      <c r="A69" t="inlineStr">
        <is>
          <t>30068</t>
        </is>
      </c>
      <c r="B69" t="inlineStr">
        <is>
          <t>せとの崎</t>
        </is>
      </c>
      <c r="C69" t="inlineStr">
        <is>
          <t>崎</t>
        </is>
      </c>
      <c r="D69" t="inlineStr">
        <is>
          <t>24.9136349</t>
        </is>
      </c>
      <c r="E69" t="inlineStr">
        <is>
          <t>125.2679978</t>
        </is>
      </c>
      <c r="F69" t="inlineStr">
        <is>
          <t>正保琉球国八山島絵図</t>
        </is>
      </c>
      <c r="G69" t="inlineStr"/>
      <c r="H69" t="inlineStr"/>
      <c r="I69" t="inlineStr">
        <is>
          <t>12</t>
        </is>
      </c>
      <c r="J69" t="inlineStr"/>
      <c r="K69" t="inlineStr">
        <is>
          <t>沖縄県宮古島市平良狩俣</t>
        </is>
      </c>
      <c r="L69" s="1">
        <f>HYPERLINK("https://www.hi.u-tokyo.ac.jp/collection/degitalgallary/ryukyu/item/30068", "https://www.hi.u-tokyo.ac.jp/collection/degitalgallary/ryukyu/item/30068")</f>
        <v/>
      </c>
    </row>
    <row r="70">
      <c r="A70" t="inlineStr">
        <is>
          <t>30069</t>
        </is>
      </c>
      <c r="B70" t="inlineStr">
        <is>
          <t>大おかみ嶋</t>
        </is>
      </c>
      <c r="C70" t="inlineStr">
        <is>
          <t>島</t>
        </is>
      </c>
      <c r="D70" t="inlineStr">
        <is>
          <t>24.9168512</t>
        </is>
      </c>
      <c r="E70" t="inlineStr">
        <is>
          <t>125.3075256</t>
        </is>
      </c>
      <c r="F70" t="inlineStr">
        <is>
          <t>正保琉球国八山島絵図</t>
        </is>
      </c>
      <c r="G70" t="inlineStr">
        <is>
          <t>かりまた間切之内</t>
        </is>
      </c>
      <c r="H70" t="inlineStr"/>
      <c r="I70" t="inlineStr">
        <is>
          <t>13</t>
        </is>
      </c>
      <c r="J70" t="inlineStr"/>
      <c r="K70" t="inlineStr">
        <is>
          <t>沖縄県宮古島市平良大神</t>
        </is>
      </c>
      <c r="L70" s="1">
        <f>HYPERLINK("https://www.hi.u-tokyo.ac.jp/collection/degitalgallary/ryukyu/item/30069", "https://www.hi.u-tokyo.ac.jp/collection/degitalgallary/ryukyu/item/30069")</f>
        <v/>
      </c>
    </row>
    <row r="71">
      <c r="A71" t="inlineStr">
        <is>
          <t>30070</t>
        </is>
      </c>
      <c r="B71" t="inlineStr">
        <is>
          <t>海上廿七町二十間</t>
        </is>
      </c>
      <c r="C71" t="inlineStr">
        <is>
          <t>航路</t>
        </is>
      </c>
      <c r="D71" t="inlineStr"/>
      <c r="E71" t="inlineStr"/>
      <c r="F71" t="inlineStr">
        <is>
          <t>正保琉球国八山島絵図</t>
        </is>
      </c>
      <c r="G71" t="inlineStr"/>
      <c r="H71" t="inlineStr"/>
      <c r="I71" t="inlineStr">
        <is>
          <t>14</t>
        </is>
      </c>
      <c r="J71" t="inlineStr"/>
      <c r="K71" t="inlineStr"/>
      <c r="L71" s="1">
        <f>HYPERLINK("https://www.hi.u-tokyo.ac.jp/collection/degitalgallary/ryukyu/item/30070", "https://www.hi.u-tokyo.ac.jp/collection/degitalgallary/ryukyu/item/30070")</f>
        <v/>
      </c>
    </row>
    <row r="72">
      <c r="A72" t="inlineStr">
        <is>
          <t>30071</t>
        </is>
      </c>
      <c r="B72" t="inlineStr">
        <is>
          <t>にしにや崎</t>
        </is>
      </c>
      <c r="C72" t="inlineStr">
        <is>
          <t>崎</t>
        </is>
      </c>
      <c r="D72" t="inlineStr"/>
      <c r="E72" t="inlineStr"/>
      <c r="F72" t="inlineStr">
        <is>
          <t>正保琉球国八山島絵図</t>
        </is>
      </c>
      <c r="G72" t="inlineStr"/>
      <c r="H72" t="inlineStr"/>
      <c r="I72" t="inlineStr">
        <is>
          <t>15</t>
        </is>
      </c>
      <c r="J72" t="inlineStr"/>
      <c r="K72" t="inlineStr"/>
      <c r="L72" s="1">
        <f>HYPERLINK("https://www.hi.u-tokyo.ac.jp/collection/degitalgallary/ryukyu/item/30071", "https://www.hi.u-tokyo.ac.jp/collection/degitalgallary/ryukyu/item/30071")</f>
        <v/>
      </c>
    </row>
    <row r="73">
      <c r="A73" t="inlineStr">
        <is>
          <t>30072</t>
        </is>
      </c>
      <c r="B73" t="inlineStr">
        <is>
          <t>かりまた間切より百名村迄、九里三町</t>
        </is>
      </c>
      <c r="C73" t="inlineStr">
        <is>
          <t>陸路</t>
        </is>
      </c>
      <c r="D73" t="inlineStr"/>
      <c r="E73" t="inlineStr"/>
      <c r="F73" t="inlineStr">
        <is>
          <t>正保琉球国八山島絵図</t>
        </is>
      </c>
      <c r="G73" t="inlineStr"/>
      <c r="H73" t="inlineStr"/>
      <c r="I73" t="inlineStr">
        <is>
          <t>16</t>
        </is>
      </c>
      <c r="J73" t="inlineStr"/>
      <c r="K73" t="inlineStr"/>
      <c r="L73" s="1">
        <f>HYPERLINK("https://www.hi.u-tokyo.ac.jp/collection/degitalgallary/ryukyu/item/30072", "https://www.hi.u-tokyo.ac.jp/collection/degitalgallary/ryukyu/item/30072")</f>
        <v/>
      </c>
    </row>
    <row r="74">
      <c r="A74" t="inlineStr">
        <is>
          <t>30073</t>
        </is>
      </c>
      <c r="B74" t="inlineStr">
        <is>
          <t>大崎</t>
        </is>
      </c>
      <c r="C74" t="inlineStr">
        <is>
          <t>崎</t>
        </is>
      </c>
      <c r="D74" t="inlineStr">
        <is>
          <t>24.843306</t>
        </is>
      </c>
      <c r="E74" t="inlineStr">
        <is>
          <t>125.286343</t>
        </is>
      </c>
      <c r="F74" t="inlineStr">
        <is>
          <t>正保琉球国八山島絵図</t>
        </is>
      </c>
      <c r="G74" t="inlineStr"/>
      <c r="H74" t="inlineStr"/>
      <c r="I74" t="inlineStr">
        <is>
          <t>17</t>
        </is>
      </c>
      <c r="J74" t="inlineStr"/>
      <c r="K74" t="inlineStr">
        <is>
          <t>沖縄県宮古島市平良荷川取</t>
        </is>
      </c>
      <c r="L74" s="1">
        <f>HYPERLINK("https://www.hi.u-tokyo.ac.jp/collection/degitalgallary/ryukyu/item/30073", "https://www.hi.u-tokyo.ac.jp/collection/degitalgallary/ryukyu/item/30073")</f>
        <v/>
      </c>
    </row>
    <row r="75">
      <c r="A75" t="inlineStr">
        <is>
          <t>30074</t>
        </is>
      </c>
      <c r="B75" t="inlineStr">
        <is>
          <t>ひらせのおかみ崎</t>
        </is>
      </c>
      <c r="C75" t="inlineStr">
        <is>
          <t>崎</t>
        </is>
      </c>
      <c r="D75" t="inlineStr">
        <is>
          <t>24.821444</t>
        </is>
      </c>
      <c r="E75" t="inlineStr">
        <is>
          <t>125.335079</t>
        </is>
      </c>
      <c r="F75" t="inlineStr">
        <is>
          <t>正保琉球国八山島絵図</t>
        </is>
      </c>
      <c r="G75" t="inlineStr"/>
      <c r="H75" t="inlineStr"/>
      <c r="I75" t="inlineStr">
        <is>
          <t>18</t>
        </is>
      </c>
      <c r="J75" t="inlineStr"/>
      <c r="K75" t="inlineStr">
        <is>
          <t>沖縄県宮古島市平良東仲宗根添</t>
        </is>
      </c>
      <c r="L75" s="1">
        <f>HYPERLINK("https://www.hi.u-tokyo.ac.jp/collection/degitalgallary/ryukyu/item/30074", "https://www.hi.u-tokyo.ac.jp/collection/degitalgallary/ryukyu/item/30074")</f>
        <v/>
      </c>
    </row>
    <row r="76">
      <c r="A76" t="inlineStr">
        <is>
          <t>30075</t>
        </is>
      </c>
      <c r="B76" t="inlineStr">
        <is>
          <t>よなはま崎</t>
        </is>
      </c>
      <c r="C76" t="inlineStr">
        <is>
          <t>崎</t>
        </is>
      </c>
      <c r="D76" t="inlineStr">
        <is>
          <t>24.792352</t>
        </is>
      </c>
      <c r="E76" t="inlineStr">
        <is>
          <t>125.369454</t>
        </is>
      </c>
      <c r="F76" t="inlineStr">
        <is>
          <t>正保琉球国八山島絵図</t>
        </is>
      </c>
      <c r="G76" t="inlineStr"/>
      <c r="H76" t="inlineStr"/>
      <c r="I76" t="inlineStr">
        <is>
          <t>19</t>
        </is>
      </c>
      <c r="J76" t="inlineStr"/>
      <c r="K76" t="inlineStr">
        <is>
          <t>沖縄県宮古島市城辺長間</t>
        </is>
      </c>
      <c r="L76" s="1">
        <f>HYPERLINK("https://www.hi.u-tokyo.ac.jp/collection/degitalgallary/ryukyu/item/30075", "https://www.hi.u-tokyo.ac.jp/collection/degitalgallary/ryukyu/item/30075")</f>
        <v/>
      </c>
    </row>
    <row r="77">
      <c r="A77" t="inlineStr">
        <is>
          <t>30076</t>
        </is>
      </c>
      <c r="B77" t="inlineStr">
        <is>
          <t>百名崎</t>
        </is>
      </c>
      <c r="C77" t="inlineStr">
        <is>
          <t>崎</t>
        </is>
      </c>
      <c r="D77" t="inlineStr">
        <is>
          <t>24.7194781</t>
        </is>
      </c>
      <c r="E77" t="inlineStr">
        <is>
          <t>125.4682982</t>
        </is>
      </c>
      <c r="F77" t="inlineStr">
        <is>
          <t>正保琉球国八山島絵図</t>
        </is>
      </c>
      <c r="G77" t="inlineStr"/>
      <c r="H77" t="inlineStr"/>
      <c r="I77" t="inlineStr">
        <is>
          <t>20</t>
        </is>
      </c>
      <c r="J77" t="inlineStr"/>
      <c r="K77" t="inlineStr">
        <is>
          <t>沖縄県宮古島市城辺保良</t>
        </is>
      </c>
      <c r="L77" s="1">
        <f>HYPERLINK("https://www.hi.u-tokyo.ac.jp/collection/degitalgallary/ryukyu/item/30076", "https://www.hi.u-tokyo.ac.jp/collection/degitalgallary/ryukyu/item/30076")</f>
        <v/>
      </c>
    </row>
    <row r="78">
      <c r="A78" t="inlineStr">
        <is>
          <t>30077</t>
        </is>
      </c>
      <c r="B78" t="inlineStr">
        <is>
          <t>そとり崎</t>
        </is>
      </c>
      <c r="C78" t="inlineStr">
        <is>
          <t>崎</t>
        </is>
      </c>
      <c r="D78" t="inlineStr"/>
      <c r="E78" t="inlineStr"/>
      <c r="F78" t="inlineStr">
        <is>
          <t>正保琉球国八山島絵図</t>
        </is>
      </c>
      <c r="G78" t="inlineStr"/>
      <c r="H78" t="inlineStr"/>
      <c r="I78" t="inlineStr">
        <is>
          <t>21</t>
        </is>
      </c>
      <c r="J78" t="inlineStr"/>
      <c r="K78" t="inlineStr"/>
      <c r="L78" s="1">
        <f>HYPERLINK("https://www.hi.u-tokyo.ac.jp/collection/degitalgallary/ryukyu/item/30077", "https://www.hi.u-tokyo.ac.jp/collection/degitalgallary/ryukyu/item/30077")</f>
        <v/>
      </c>
    </row>
    <row r="79">
      <c r="A79" t="inlineStr">
        <is>
          <t>30078</t>
        </is>
      </c>
      <c r="B79" t="inlineStr">
        <is>
          <t>かゝいり崎</t>
        </is>
      </c>
      <c r="C79" t="inlineStr">
        <is>
          <t>崎</t>
        </is>
      </c>
      <c r="D79" t="inlineStr">
        <is>
          <t>24.7125864</t>
        </is>
      </c>
      <c r="E79" t="inlineStr">
        <is>
          <t>125.3079831</t>
        </is>
      </c>
      <c r="F79" t="inlineStr">
        <is>
          <t>正保琉球国八山島絵図</t>
        </is>
      </c>
      <c r="G79" t="inlineStr"/>
      <c r="H79" t="inlineStr"/>
      <c r="I79" t="inlineStr">
        <is>
          <t>22</t>
        </is>
      </c>
      <c r="J79" t="inlineStr"/>
      <c r="K79" t="inlineStr">
        <is>
          <t>沖縄県宮古島市上野宮国</t>
        </is>
      </c>
      <c r="L79" s="1">
        <f>HYPERLINK("https://www.hi.u-tokyo.ac.jp/collection/degitalgallary/ryukyu/item/30078", "https://www.hi.u-tokyo.ac.jp/collection/degitalgallary/ryukyu/item/30078")</f>
        <v/>
      </c>
    </row>
    <row r="80">
      <c r="A80" t="inlineStr">
        <is>
          <t>30079</t>
        </is>
      </c>
      <c r="B80" t="inlineStr">
        <is>
          <t>宮古嶋
嶋廻り十一里
高壱万弐千四百五拾八石七斗九升弐合</t>
        </is>
      </c>
      <c r="C80" t="inlineStr">
        <is>
          <t>島</t>
        </is>
      </c>
      <c r="D80" t="inlineStr">
        <is>
          <t>24.7673666</t>
        </is>
      </c>
      <c r="E80" t="inlineStr">
        <is>
          <t>125.3246769</t>
        </is>
      </c>
      <c r="F80" t="inlineStr">
        <is>
          <t>正保琉球国八山島絵図</t>
        </is>
      </c>
      <c r="G80" t="inlineStr"/>
      <c r="H80" t="inlineStr"/>
      <c r="I80" t="inlineStr">
        <is>
          <t>23</t>
        </is>
      </c>
      <c r="J80" t="inlineStr"/>
      <c r="K80" t="inlineStr">
        <is>
          <t>沖縄県宮古島市上野野原</t>
        </is>
      </c>
      <c r="L80" s="1">
        <f>HYPERLINK("https://www.hi.u-tokyo.ac.jp/collection/degitalgallary/ryukyu/item/30079", "https://www.hi.u-tokyo.ac.jp/collection/degitalgallary/ryukyu/item/30079")</f>
        <v/>
      </c>
    </row>
    <row r="81">
      <c r="A81" t="inlineStr">
        <is>
          <t>30080</t>
        </is>
      </c>
      <c r="B81" t="inlineStr">
        <is>
          <t>権現</t>
        </is>
      </c>
      <c r="C81" t="inlineStr">
        <is>
          <t>寺社</t>
        </is>
      </c>
      <c r="D81" t="inlineStr">
        <is>
          <t>24.8090905</t>
        </is>
      </c>
      <c r="E81" t="inlineStr">
        <is>
          <t>125.2788598</t>
        </is>
      </c>
      <c r="F81" t="inlineStr">
        <is>
          <t>正保琉球国八山島絵図</t>
        </is>
      </c>
      <c r="G81" t="inlineStr"/>
      <c r="H81" t="inlineStr"/>
      <c r="I81" t="inlineStr">
        <is>
          <t>24</t>
        </is>
      </c>
      <c r="J81" t="inlineStr"/>
      <c r="K81" t="inlineStr">
        <is>
          <t>沖縄県宮古島市平良西仲宗根</t>
        </is>
      </c>
      <c r="L81" s="1">
        <f>HYPERLINK("https://www.hi.u-tokyo.ac.jp/collection/degitalgallary/ryukyu/item/30080", "https://www.hi.u-tokyo.ac.jp/collection/degitalgallary/ryukyu/item/30080")</f>
        <v/>
      </c>
    </row>
    <row r="82">
      <c r="A82" t="inlineStr">
        <is>
          <t>30081</t>
        </is>
      </c>
      <c r="B82" t="inlineStr">
        <is>
          <t>はり水浜　船かゝり不自由</t>
        </is>
      </c>
      <c r="C82" t="inlineStr">
        <is>
          <t>港湾</t>
        </is>
      </c>
      <c r="D82" t="inlineStr">
        <is>
          <t>24.7905733</t>
        </is>
      </c>
      <c r="E82" t="inlineStr">
        <is>
          <t>125.3054672</t>
        </is>
      </c>
      <c r="F82" t="inlineStr">
        <is>
          <t>正保琉球国八山島絵図</t>
        </is>
      </c>
      <c r="G82" t="inlineStr"/>
      <c r="H82" t="inlineStr"/>
      <c r="I82" t="inlineStr">
        <is>
          <t>25</t>
        </is>
      </c>
      <c r="J82" t="inlineStr"/>
      <c r="K82" t="inlineStr">
        <is>
          <t>沖縄県宮古島市平良西里</t>
        </is>
      </c>
      <c r="L82" s="1">
        <f>HYPERLINK("https://www.hi.u-tokyo.ac.jp/collection/degitalgallary/ryukyu/item/30081", "https://www.hi.u-tokyo.ac.jp/collection/degitalgallary/ryukyu/item/30081")</f>
        <v/>
      </c>
    </row>
    <row r="83">
      <c r="A83" t="inlineStr">
        <is>
          <t>30082</t>
        </is>
      </c>
      <c r="B83" t="inlineStr">
        <is>
          <t>はり水より永良部嶋迄、一里十町</t>
        </is>
      </c>
      <c r="C83" t="inlineStr">
        <is>
          <t>航路</t>
        </is>
      </c>
      <c r="D83" t="inlineStr"/>
      <c r="E83" t="inlineStr"/>
      <c r="F83" t="inlineStr">
        <is>
          <t>正保琉球国八山島絵図</t>
        </is>
      </c>
      <c r="G83" t="inlineStr"/>
      <c r="H83" t="inlineStr"/>
      <c r="I83" t="inlineStr">
        <is>
          <t>26</t>
        </is>
      </c>
      <c r="J83" t="inlineStr"/>
      <c r="K83" t="inlineStr"/>
      <c r="L83" s="1">
        <f>HYPERLINK("https://www.hi.u-tokyo.ac.jp/collection/degitalgallary/ryukyu/item/30082", "https://www.hi.u-tokyo.ac.jp/collection/degitalgallary/ryukyu/item/30082")</f>
        <v/>
      </c>
    </row>
    <row r="84">
      <c r="A84" t="inlineStr">
        <is>
          <t>30083</t>
        </is>
      </c>
      <c r="B84" t="inlineStr">
        <is>
          <t>ねくわのおかみ崎</t>
        </is>
      </c>
      <c r="C84" t="inlineStr">
        <is>
          <t>崎</t>
        </is>
      </c>
      <c r="D84" t="inlineStr">
        <is>
          <t>24.8013199</t>
        </is>
      </c>
      <c r="E84" t="inlineStr">
        <is>
          <t>125.2590258</t>
        </is>
      </c>
      <c r="F84" t="inlineStr">
        <is>
          <t>正保琉球国八山島絵図</t>
        </is>
      </c>
      <c r="G84" t="inlineStr"/>
      <c r="H84" t="inlineStr"/>
      <c r="I84" t="inlineStr">
        <is>
          <t>27</t>
        </is>
      </c>
      <c r="J84" t="inlineStr"/>
      <c r="K84" t="inlineStr">
        <is>
          <t>沖縄県宮古島市平良久貝</t>
        </is>
      </c>
      <c r="L84" s="1">
        <f>HYPERLINK("https://www.hi.u-tokyo.ac.jp/collection/degitalgallary/ryukyu/item/30083", "https://www.hi.u-tokyo.ac.jp/collection/degitalgallary/ryukyu/item/30083")</f>
        <v/>
      </c>
    </row>
    <row r="85">
      <c r="A85" t="inlineStr">
        <is>
          <t>30084</t>
        </is>
      </c>
      <c r="B85" t="inlineStr">
        <is>
          <t>船出入不成</t>
        </is>
      </c>
      <c r="C85" t="inlineStr">
        <is>
          <t>港湾</t>
        </is>
      </c>
      <c r="D85" t="inlineStr"/>
      <c r="E85" t="inlineStr"/>
      <c r="F85" t="inlineStr">
        <is>
          <t>正保琉球国八山島絵図</t>
        </is>
      </c>
      <c r="G85" t="inlineStr"/>
      <c r="H85" t="inlineStr"/>
      <c r="I85" t="inlineStr">
        <is>
          <t>28</t>
        </is>
      </c>
      <c r="J85" t="inlineStr"/>
      <c r="K85" t="inlineStr"/>
      <c r="L85" s="1">
        <f>HYPERLINK("https://www.hi.u-tokyo.ac.jp/collection/degitalgallary/ryukyu/item/30084", "https://www.hi.u-tokyo.ac.jp/collection/degitalgallary/ryukyu/item/30084")</f>
        <v/>
      </c>
    </row>
    <row r="86">
      <c r="A86" t="inlineStr">
        <is>
          <t>30085</t>
        </is>
      </c>
      <c r="B86" t="inlineStr">
        <is>
          <t>西浜崎</t>
        </is>
      </c>
      <c r="C86" t="inlineStr">
        <is>
          <t>崎</t>
        </is>
      </c>
      <c r="D86" t="inlineStr">
        <is>
          <t>24.767552</t>
        </is>
      </c>
      <c r="E86" t="inlineStr">
        <is>
          <t>125.261572</t>
        </is>
      </c>
      <c r="F86" t="inlineStr">
        <is>
          <t>正保琉球国八山島絵図</t>
        </is>
      </c>
      <c r="G86" t="inlineStr"/>
      <c r="H86" t="inlineStr"/>
      <c r="I86" t="inlineStr">
        <is>
          <t>29</t>
        </is>
      </c>
      <c r="J86" t="inlineStr"/>
      <c r="K86" t="inlineStr">
        <is>
          <t>沖縄県宮古島市下地与那覇</t>
        </is>
      </c>
      <c r="L86" s="1">
        <f>HYPERLINK("https://www.hi.u-tokyo.ac.jp/collection/degitalgallary/ryukyu/item/30085", "https://www.hi.u-tokyo.ac.jp/collection/degitalgallary/ryukyu/item/30085")</f>
        <v/>
      </c>
    </row>
    <row r="87">
      <c r="A87" t="inlineStr">
        <is>
          <t>30086</t>
        </is>
      </c>
      <c r="B87" t="inlineStr">
        <is>
          <t>此間十二町</t>
        </is>
      </c>
      <c r="C87" t="inlineStr">
        <is>
          <t>その他</t>
        </is>
      </c>
      <c r="D87" t="inlineStr"/>
      <c r="E87" t="inlineStr"/>
      <c r="F87" t="inlineStr">
        <is>
          <t>正保琉球国八山島絵図</t>
        </is>
      </c>
      <c r="G87" t="inlineStr"/>
      <c r="H87" t="inlineStr"/>
      <c r="I87" t="inlineStr">
        <is>
          <t>30</t>
        </is>
      </c>
      <c r="J87" t="inlineStr"/>
      <c r="K87" t="inlineStr"/>
      <c r="L87" s="1">
        <f>HYPERLINK("https://www.hi.u-tokyo.ac.jp/collection/degitalgallary/ryukyu/item/30086", "https://www.hi.u-tokyo.ac.jp/collection/degitalgallary/ryukyu/item/30086")</f>
        <v/>
      </c>
    </row>
    <row r="88">
      <c r="A88" t="inlineStr">
        <is>
          <t>30087</t>
        </is>
      </c>
      <c r="B88" t="inlineStr">
        <is>
          <t>くれま嶋</t>
        </is>
      </c>
      <c r="C88" t="inlineStr">
        <is>
          <t>島</t>
        </is>
      </c>
      <c r="D88" t="inlineStr">
        <is>
          <t>24.7229025</t>
        </is>
      </c>
      <c r="E88" t="inlineStr">
        <is>
          <t>125.2505577</t>
        </is>
      </c>
      <c r="F88" t="inlineStr">
        <is>
          <t>正保琉球国八山島絵図</t>
        </is>
      </c>
      <c r="G88" t="inlineStr">
        <is>
          <t>下地間切之内
嶋廻壱里
人居有</t>
        </is>
      </c>
      <c r="H88" t="inlineStr"/>
      <c r="I88" t="inlineStr">
        <is>
          <t>31</t>
        </is>
      </c>
      <c r="J88" t="inlineStr"/>
      <c r="K88" t="inlineStr">
        <is>
          <t>沖縄県宮古島市下地来間</t>
        </is>
      </c>
      <c r="L88" s="1">
        <f>HYPERLINK("https://www.hi.u-tokyo.ac.jp/collection/degitalgallary/ryukyu/item/30087", "https://www.hi.u-tokyo.ac.jp/collection/degitalgallary/ryukyu/item/30087")</f>
        <v/>
      </c>
    </row>
    <row r="89">
      <c r="A89" t="inlineStr">
        <is>
          <t>30088</t>
        </is>
      </c>
      <c r="B89" t="inlineStr">
        <is>
          <t>歩渡り</t>
        </is>
      </c>
      <c r="C89" t="inlineStr">
        <is>
          <t>渡河点</t>
        </is>
      </c>
      <c r="D89" t="inlineStr"/>
      <c r="E89" t="inlineStr"/>
      <c r="F89" t="inlineStr">
        <is>
          <t>正保琉球国八山島絵図</t>
        </is>
      </c>
      <c r="G89" t="inlineStr"/>
      <c r="H89" t="inlineStr"/>
      <c r="I89" t="inlineStr">
        <is>
          <t>32</t>
        </is>
      </c>
      <c r="J89" t="inlineStr"/>
      <c r="K89" t="inlineStr"/>
      <c r="L89" s="1">
        <f>HYPERLINK("https://www.hi.u-tokyo.ac.jp/collection/degitalgallary/ryukyu/item/30088", "https://www.hi.u-tokyo.ac.jp/collection/degitalgallary/ryukyu/item/30088")</f>
        <v/>
      </c>
    </row>
    <row r="90">
      <c r="A90" t="inlineStr">
        <is>
          <t>30089</t>
        </is>
      </c>
      <c r="B90" t="inlineStr">
        <is>
          <t>永良部嶋</t>
        </is>
      </c>
      <c r="C90" t="inlineStr">
        <is>
          <t>島</t>
        </is>
      </c>
      <c r="D90" t="inlineStr">
        <is>
          <t>24.8367236</t>
        </is>
      </c>
      <c r="E90" t="inlineStr">
        <is>
          <t>125.1818695</t>
        </is>
      </c>
      <c r="F90" t="inlineStr">
        <is>
          <t>正保琉球国八山島絵図</t>
        </is>
      </c>
      <c r="G90" t="inlineStr">
        <is>
          <t>宮古嶋之内
嶋廻り四里廿町</t>
        </is>
      </c>
      <c r="H90" t="inlineStr"/>
      <c r="I90" t="inlineStr">
        <is>
          <t>33</t>
        </is>
      </c>
      <c r="J90" t="inlineStr"/>
      <c r="K90" t="inlineStr">
        <is>
          <t>沖縄県宮古島市伊良部長浜</t>
        </is>
      </c>
      <c r="L90" s="1">
        <f>HYPERLINK("https://www.hi.u-tokyo.ac.jp/collection/degitalgallary/ryukyu/item/30089", "https://www.hi.u-tokyo.ac.jp/collection/degitalgallary/ryukyu/item/30089")</f>
        <v/>
      </c>
    </row>
    <row r="91">
      <c r="A91" t="inlineStr">
        <is>
          <t>30090</t>
        </is>
      </c>
      <c r="B91" t="inlineStr">
        <is>
          <t>白鳥崎</t>
        </is>
      </c>
      <c r="C91" t="inlineStr">
        <is>
          <t>崎</t>
        </is>
      </c>
      <c r="D91" t="inlineStr">
        <is>
          <t>24.8605159</t>
        </is>
      </c>
      <c r="E91" t="inlineStr">
        <is>
          <t>125.161829</t>
        </is>
      </c>
      <c r="F91" t="inlineStr">
        <is>
          <t>正保琉球国八山島絵図</t>
        </is>
      </c>
      <c r="G91" t="inlineStr"/>
      <c r="H91" t="inlineStr"/>
      <c r="I91" t="inlineStr">
        <is>
          <t>34</t>
        </is>
      </c>
      <c r="J91" t="inlineStr"/>
      <c r="K91" t="inlineStr">
        <is>
          <t>沖縄県宮古島市伊良部佐和田</t>
        </is>
      </c>
      <c r="L91" s="1">
        <f>HYPERLINK("https://www.hi.u-tokyo.ac.jp/collection/degitalgallary/ryukyu/item/30090", "https://www.hi.u-tokyo.ac.jp/collection/degitalgallary/ryukyu/item/30090")</f>
        <v/>
      </c>
    </row>
    <row r="92">
      <c r="A92" t="inlineStr">
        <is>
          <t>30091</t>
        </is>
      </c>
      <c r="B92" t="inlineStr">
        <is>
          <t>たかめの崎</t>
        </is>
      </c>
      <c r="C92" t="inlineStr">
        <is>
          <t>崎</t>
        </is>
      </c>
      <c r="D92" t="inlineStr">
        <is>
          <t>24.8142935</t>
        </is>
      </c>
      <c r="E92" t="inlineStr">
        <is>
          <t>125.2212739</t>
        </is>
      </c>
      <c r="F92" t="inlineStr">
        <is>
          <t>正保琉球国八山島絵図</t>
        </is>
      </c>
      <c r="G92" t="inlineStr"/>
      <c r="H92" t="inlineStr"/>
      <c r="I92" t="inlineStr">
        <is>
          <t>35</t>
        </is>
      </c>
      <c r="J92" t="inlineStr"/>
      <c r="K92" t="inlineStr">
        <is>
          <t>沖縄県宮古島市伊良部池間添</t>
        </is>
      </c>
      <c r="L92" s="1">
        <f>HYPERLINK("https://www.hi.u-tokyo.ac.jp/collection/degitalgallary/ryukyu/item/30091", "https://www.hi.u-tokyo.ac.jp/collection/degitalgallary/ryukyu/item/30091")</f>
        <v/>
      </c>
    </row>
    <row r="93">
      <c r="A93" t="inlineStr">
        <is>
          <t>30092</t>
        </is>
      </c>
      <c r="B93" t="inlineStr">
        <is>
          <t>船掛り不成</t>
        </is>
      </c>
      <c r="C93" t="inlineStr">
        <is>
          <t>港湾</t>
        </is>
      </c>
      <c r="D93" t="inlineStr"/>
      <c r="E93" t="inlineStr"/>
      <c r="F93" t="inlineStr">
        <is>
          <t>正保琉球国八山島絵図</t>
        </is>
      </c>
      <c r="G93" t="inlineStr"/>
      <c r="H93" t="inlineStr"/>
      <c r="I93" t="inlineStr">
        <is>
          <t>36</t>
        </is>
      </c>
      <c r="J93" t="inlineStr"/>
      <c r="K93" t="inlineStr"/>
      <c r="L93" s="1">
        <f>HYPERLINK("https://www.hi.u-tokyo.ac.jp/collection/degitalgallary/ryukyu/item/30092", "https://www.hi.u-tokyo.ac.jp/collection/degitalgallary/ryukyu/item/30092")</f>
        <v/>
      </c>
    </row>
    <row r="94">
      <c r="A94" t="inlineStr">
        <is>
          <t>30093</t>
        </is>
      </c>
      <c r="B94" t="inlineStr">
        <is>
          <t>ひき崎</t>
        </is>
      </c>
      <c r="C94" t="inlineStr">
        <is>
          <t>崎</t>
        </is>
      </c>
      <c r="D94" t="inlineStr">
        <is>
          <t>24.8053706</t>
        </is>
      </c>
      <c r="E94" t="inlineStr">
        <is>
          <t>125.1721227</t>
        </is>
      </c>
      <c r="F94" t="inlineStr">
        <is>
          <t>正保琉球国八山島絵図</t>
        </is>
      </c>
      <c r="G94" t="inlineStr"/>
      <c r="H94" t="inlineStr"/>
      <c r="I94" t="inlineStr">
        <is>
          <t>37</t>
        </is>
      </c>
      <c r="J94" t="inlineStr"/>
      <c r="K94" t="inlineStr">
        <is>
          <t>沖縄県宮古島市伊良部伊良部</t>
        </is>
      </c>
      <c r="L94" s="1">
        <f>HYPERLINK("https://www.hi.u-tokyo.ac.jp/collection/degitalgallary/ryukyu/item/30093", "https://www.hi.u-tokyo.ac.jp/collection/degitalgallary/ryukyu/item/30093")</f>
        <v/>
      </c>
    </row>
    <row r="95">
      <c r="A95" t="inlineStr">
        <is>
          <t>30094</t>
        </is>
      </c>
      <c r="B95" t="inlineStr">
        <is>
          <t>下地嶋</t>
        </is>
      </c>
      <c r="C95" t="inlineStr">
        <is>
          <t>島</t>
        </is>
      </c>
      <c r="D95" t="inlineStr">
        <is>
          <t>24.8183207</t>
        </is>
      </c>
      <c r="E95" t="inlineStr">
        <is>
          <t>125.1543783</t>
        </is>
      </c>
      <c r="F95" t="inlineStr">
        <is>
          <t>正保琉球国八山島絵図</t>
        </is>
      </c>
      <c r="G95" t="inlineStr">
        <is>
          <t>永良部嶋之内
人居無</t>
        </is>
      </c>
      <c r="H95" t="inlineStr"/>
      <c r="I95" t="inlineStr">
        <is>
          <t>38</t>
        </is>
      </c>
      <c r="J95" t="inlineStr"/>
      <c r="K95" t="inlineStr">
        <is>
          <t>沖縄県宮古島市伊良部仲地</t>
        </is>
      </c>
      <c r="L95" s="1">
        <f>HYPERLINK("https://www.hi.u-tokyo.ac.jp/collection/degitalgallary/ryukyu/item/30094", "https://www.hi.u-tokyo.ac.jp/collection/degitalgallary/ryukyu/item/30094")</f>
        <v/>
      </c>
    </row>
    <row r="96">
      <c r="A96" t="inlineStr">
        <is>
          <t>30095</t>
        </is>
      </c>
      <c r="B96" t="inlineStr">
        <is>
          <t>さくり崎</t>
        </is>
      </c>
      <c r="C96" t="inlineStr">
        <is>
          <t>崎</t>
        </is>
      </c>
      <c r="D96" t="inlineStr">
        <is>
          <t>24.8358942</t>
        </is>
      </c>
      <c r="E96" t="inlineStr">
        <is>
          <t>125.1372135</t>
        </is>
      </c>
      <c r="F96" t="inlineStr">
        <is>
          <t>正保琉球国八山島絵図</t>
        </is>
      </c>
      <c r="G96" t="inlineStr"/>
      <c r="H96" t="inlineStr"/>
      <c r="I96" t="inlineStr">
        <is>
          <t>39</t>
        </is>
      </c>
      <c r="J96" t="inlineStr"/>
      <c r="K96" t="inlineStr">
        <is>
          <t>沖縄県宮古島市伊良部佐和田</t>
        </is>
      </c>
      <c r="L96" s="1">
        <f>HYPERLINK("https://www.hi.u-tokyo.ac.jp/collection/degitalgallary/ryukyu/item/30095", "https://www.hi.u-tokyo.ac.jp/collection/degitalgallary/ryukyu/item/30095")</f>
        <v/>
      </c>
    </row>
    <row r="97">
      <c r="A97" t="inlineStr">
        <is>
          <t>30096</t>
        </is>
      </c>
      <c r="B97" t="inlineStr">
        <is>
          <t>宮古嶋はり水よりみつな嶋迄、海上三十五里酉ノ方ニ当ル</t>
        </is>
      </c>
      <c r="C97" t="inlineStr">
        <is>
          <t>航路</t>
        </is>
      </c>
      <c r="D97" t="inlineStr"/>
      <c r="E97" t="inlineStr"/>
      <c r="F97" t="inlineStr">
        <is>
          <t>正保琉球国八山島絵図</t>
        </is>
      </c>
      <c r="G97" t="inlineStr"/>
      <c r="H97" t="inlineStr"/>
      <c r="I97" t="inlineStr">
        <is>
          <t>40</t>
        </is>
      </c>
      <c r="J97" t="inlineStr"/>
      <c r="K97" t="inlineStr"/>
      <c r="L97" s="1">
        <f>HYPERLINK("https://www.hi.u-tokyo.ac.jp/collection/degitalgallary/ryukyu/item/30096", "https://www.hi.u-tokyo.ac.jp/collection/degitalgallary/ryukyu/item/30096")</f>
        <v/>
      </c>
    </row>
    <row r="98">
      <c r="A98" t="inlineStr">
        <is>
          <t>30097</t>
        </is>
      </c>
      <c r="B98" t="inlineStr">
        <is>
          <t>はり水より下地嶋迄、海上二里</t>
        </is>
      </c>
      <c r="C98" t="inlineStr">
        <is>
          <t>航路</t>
        </is>
      </c>
      <c r="D98" t="inlineStr"/>
      <c r="E98" t="inlineStr"/>
      <c r="F98" t="inlineStr">
        <is>
          <t>正保琉球国八山島絵図</t>
        </is>
      </c>
      <c r="G98" t="inlineStr"/>
      <c r="H98" t="inlineStr"/>
      <c r="I98" t="inlineStr">
        <is>
          <t>41</t>
        </is>
      </c>
      <c r="J98" t="inlineStr"/>
      <c r="K98" t="inlineStr"/>
      <c r="L98" s="1">
        <f>HYPERLINK("https://www.hi.u-tokyo.ac.jp/collection/degitalgallary/ryukyu/item/30097", "https://www.hi.u-tokyo.ac.jp/collection/degitalgallary/ryukyu/item/30097")</f>
        <v/>
      </c>
    </row>
    <row r="99">
      <c r="A99" t="inlineStr">
        <is>
          <t>30098</t>
        </is>
      </c>
      <c r="B99" t="inlineStr">
        <is>
          <t>宮古嶋はり水よりたらま嶋迄、海上三十五里申酉ノ間ニ当ル、此渡昼夜共ニ潮東へ落ル</t>
        </is>
      </c>
      <c r="C99" t="inlineStr">
        <is>
          <t>航路</t>
        </is>
      </c>
      <c r="D99" t="inlineStr"/>
      <c r="E99" t="inlineStr"/>
      <c r="F99" t="inlineStr">
        <is>
          <t>正保琉球国八山島絵図</t>
        </is>
      </c>
      <c r="G99" t="inlineStr"/>
      <c r="H99" t="inlineStr"/>
      <c r="I99" t="inlineStr">
        <is>
          <t>42</t>
        </is>
      </c>
      <c r="J99" t="inlineStr"/>
      <c r="K99" t="inlineStr"/>
      <c r="L99" s="1">
        <f>HYPERLINK("https://www.hi.u-tokyo.ac.jp/collection/degitalgallary/ryukyu/item/30098", "https://www.hi.u-tokyo.ac.jp/collection/degitalgallary/ryukyu/item/30098")</f>
        <v/>
      </c>
    </row>
    <row r="100">
      <c r="A100" t="inlineStr">
        <is>
          <t>30099</t>
        </is>
      </c>
      <c r="B100" t="inlineStr">
        <is>
          <t>たらま嶋</t>
        </is>
      </c>
      <c r="C100" t="inlineStr">
        <is>
          <t>島</t>
        </is>
      </c>
      <c r="D100" t="inlineStr">
        <is>
          <t>24.6555311</t>
        </is>
      </c>
      <c r="E100" t="inlineStr">
        <is>
          <t>124.6967094</t>
        </is>
      </c>
      <c r="F100" t="inlineStr">
        <is>
          <t>正保琉球国八山島絵図</t>
        </is>
      </c>
      <c r="G100" t="inlineStr">
        <is>
          <t>宮古嶋之内
嶋廻り四里</t>
        </is>
      </c>
      <c r="H100" t="inlineStr"/>
      <c r="I100" t="inlineStr">
        <is>
          <t>43</t>
        </is>
      </c>
      <c r="J100" t="inlineStr"/>
      <c r="K100" t="inlineStr">
        <is>
          <t>沖縄県宮古郡多良間村仲筋</t>
        </is>
      </c>
      <c r="L100" s="1">
        <f>HYPERLINK("https://www.hi.u-tokyo.ac.jp/collection/degitalgallary/ryukyu/item/30099", "https://www.hi.u-tokyo.ac.jp/collection/degitalgallary/ryukyu/item/30099")</f>
        <v/>
      </c>
    </row>
    <row r="101">
      <c r="A101" t="inlineStr">
        <is>
          <t>30100</t>
        </is>
      </c>
      <c r="B101" t="inlineStr">
        <is>
          <t>船繋り不成</t>
        </is>
      </c>
      <c r="C101" t="inlineStr">
        <is>
          <t>港湾</t>
        </is>
      </c>
      <c r="D101" t="inlineStr"/>
      <c r="E101" t="inlineStr"/>
      <c r="F101" t="inlineStr">
        <is>
          <t>正保琉球国八山島絵図</t>
        </is>
      </c>
      <c r="G101" t="inlineStr"/>
      <c r="H101" t="inlineStr"/>
      <c r="I101" t="inlineStr">
        <is>
          <t>44</t>
        </is>
      </c>
      <c r="J101" t="inlineStr"/>
      <c r="K101" t="inlineStr"/>
      <c r="L101" s="1">
        <f>HYPERLINK("https://www.hi.u-tokyo.ac.jp/collection/degitalgallary/ryukyu/item/30100", "https://www.hi.u-tokyo.ac.jp/collection/degitalgallary/ryukyu/item/30100")</f>
        <v/>
      </c>
    </row>
    <row r="102">
      <c r="A102" t="inlineStr">
        <is>
          <t>30101</t>
        </is>
      </c>
      <c r="B102" t="inlineStr">
        <is>
          <t>はなれ崎</t>
        </is>
      </c>
      <c r="C102" t="inlineStr">
        <is>
          <t>崎</t>
        </is>
      </c>
      <c r="D102" t="inlineStr">
        <is>
          <t>24.6682967</t>
        </is>
      </c>
      <c r="E102" t="inlineStr">
        <is>
          <t>124.7239579</t>
        </is>
      </c>
      <c r="F102" t="inlineStr">
        <is>
          <t>正保琉球国八山島絵図</t>
        </is>
      </c>
      <c r="G102" t="inlineStr"/>
      <c r="H102" t="inlineStr"/>
      <c r="I102" t="inlineStr">
        <is>
          <t>45</t>
        </is>
      </c>
      <c r="J102" t="inlineStr"/>
      <c r="K102" t="inlineStr">
        <is>
          <t>沖縄県宮古郡多良間村塩川</t>
        </is>
      </c>
      <c r="L102" s="1">
        <f>HYPERLINK("https://www.hi.u-tokyo.ac.jp/collection/degitalgallary/ryukyu/item/30101", "https://www.hi.u-tokyo.ac.jp/collection/degitalgallary/ryukyu/item/30101")</f>
        <v/>
      </c>
    </row>
    <row r="103">
      <c r="A103" t="inlineStr">
        <is>
          <t>30102</t>
        </is>
      </c>
      <c r="B103" t="inlineStr">
        <is>
          <t>みつはなれ崎</t>
        </is>
      </c>
      <c r="C103" t="inlineStr">
        <is>
          <t>崎</t>
        </is>
      </c>
      <c r="D103" t="inlineStr">
        <is>
          <t>24.6429306</t>
        </is>
      </c>
      <c r="E103" t="inlineStr">
        <is>
          <t>124.7157604</t>
        </is>
      </c>
      <c r="F103" t="inlineStr">
        <is>
          <t>正保琉球国八山島絵図</t>
        </is>
      </c>
      <c r="G103" t="inlineStr"/>
      <c r="H103" t="inlineStr"/>
      <c r="I103" t="inlineStr">
        <is>
          <t>46</t>
        </is>
      </c>
      <c r="J103" t="inlineStr"/>
      <c r="K103" t="inlineStr">
        <is>
          <t>沖縄県宮古郡多良間村塩川</t>
        </is>
      </c>
      <c r="L103" s="1">
        <f>HYPERLINK("https://www.hi.u-tokyo.ac.jp/collection/degitalgallary/ryukyu/item/30102", "https://www.hi.u-tokyo.ac.jp/collection/degitalgallary/ryukyu/item/30102")</f>
        <v/>
      </c>
    </row>
    <row r="104">
      <c r="A104" t="inlineStr">
        <is>
          <t>30103</t>
        </is>
      </c>
      <c r="B104" t="inlineStr">
        <is>
          <t>大たう崎</t>
        </is>
      </c>
      <c r="C104" t="inlineStr">
        <is>
          <t>崎</t>
        </is>
      </c>
      <c r="D104" t="inlineStr">
        <is>
          <t>24.6408584</t>
        </is>
      </c>
      <c r="E104" t="inlineStr">
        <is>
          <t>124.6811896</t>
        </is>
      </c>
      <c r="F104" t="inlineStr">
        <is>
          <t>正保琉球国八山島絵図</t>
        </is>
      </c>
      <c r="G104" t="inlineStr"/>
      <c r="H104" t="inlineStr"/>
      <c r="I104" t="inlineStr">
        <is>
          <t>47</t>
        </is>
      </c>
      <c r="J104" t="inlineStr"/>
      <c r="K104" t="inlineStr">
        <is>
          <t>沖縄県宮古郡多良間村仲筋</t>
        </is>
      </c>
      <c r="L104" s="1">
        <f>HYPERLINK("https://www.hi.u-tokyo.ac.jp/collection/degitalgallary/ryukyu/item/30103", "https://www.hi.u-tokyo.ac.jp/collection/degitalgallary/ryukyu/item/30103")</f>
        <v/>
      </c>
    </row>
    <row r="105">
      <c r="A105" t="inlineStr">
        <is>
          <t>30104</t>
        </is>
      </c>
      <c r="B105" t="inlineStr">
        <is>
          <t>はたけ地の崎</t>
        </is>
      </c>
      <c r="C105" t="inlineStr">
        <is>
          <t>崎</t>
        </is>
      </c>
      <c r="D105" t="inlineStr">
        <is>
          <t>24.6636325</t>
        </is>
      </c>
      <c r="E105" t="inlineStr">
        <is>
          <t>124.6726456</t>
        </is>
      </c>
      <c r="F105" t="inlineStr">
        <is>
          <t>正保琉球国八山島絵図</t>
        </is>
      </c>
      <c r="G105" t="inlineStr"/>
      <c r="H105" t="inlineStr"/>
      <c r="I105" t="inlineStr">
        <is>
          <t>48</t>
        </is>
      </c>
      <c r="J105" t="inlineStr"/>
      <c r="K105" t="inlineStr">
        <is>
          <t>沖縄県宮古郡多良間村仲筋</t>
        </is>
      </c>
      <c r="L105" s="1">
        <f>HYPERLINK("https://www.hi.u-tokyo.ac.jp/collection/degitalgallary/ryukyu/item/30104", "https://www.hi.u-tokyo.ac.jp/collection/degitalgallary/ryukyu/item/30104")</f>
        <v/>
      </c>
    </row>
    <row r="106">
      <c r="A106" t="inlineStr">
        <is>
          <t>30105</t>
        </is>
      </c>
      <c r="B106" t="inlineStr">
        <is>
          <t>大なか崎</t>
        </is>
      </c>
      <c r="C106" t="inlineStr">
        <is>
          <t>崎</t>
        </is>
      </c>
      <c r="D106" t="inlineStr">
        <is>
          <t>24.6752368</t>
        </is>
      </c>
      <c r="E106" t="inlineStr">
        <is>
          <t>124.6911658</t>
        </is>
      </c>
      <c r="F106" t="inlineStr">
        <is>
          <t>正保琉球国八山島絵図</t>
        </is>
      </c>
      <c r="G106" t="inlineStr"/>
      <c r="H106" t="inlineStr"/>
      <c r="I106" t="inlineStr">
        <is>
          <t>49</t>
        </is>
      </c>
      <c r="J106" t="inlineStr"/>
      <c r="K106" t="inlineStr">
        <is>
          <t>沖縄県宮古郡多良間村仲筋</t>
        </is>
      </c>
      <c r="L106" s="1">
        <f>HYPERLINK("https://www.hi.u-tokyo.ac.jp/collection/degitalgallary/ryukyu/item/30105", "https://www.hi.u-tokyo.ac.jp/collection/degitalgallary/ryukyu/item/30105")</f>
        <v/>
      </c>
    </row>
    <row r="107">
      <c r="A107" t="inlineStr">
        <is>
          <t>30106</t>
        </is>
      </c>
      <c r="B107" t="inlineStr">
        <is>
          <t>みつな嶋</t>
        </is>
      </c>
      <c r="C107" t="inlineStr">
        <is>
          <t>島</t>
        </is>
      </c>
      <c r="D107" t="inlineStr">
        <is>
          <t>24.757236</t>
        </is>
      </c>
      <c r="E107" t="inlineStr">
        <is>
          <t>124.6939449</t>
        </is>
      </c>
      <c r="F107" t="inlineStr">
        <is>
          <t>正保琉球国八山島絵図</t>
        </is>
      </c>
      <c r="G107" t="inlineStr">
        <is>
          <t>たらま嶋之内
人居有
嶋廻壱里</t>
        </is>
      </c>
      <c r="H107" t="inlineStr"/>
      <c r="I107" t="inlineStr">
        <is>
          <t>50</t>
        </is>
      </c>
      <c r="J107" t="inlineStr"/>
      <c r="K107" t="inlineStr">
        <is>
          <t>沖縄県宮古郡多良間村水納</t>
        </is>
      </c>
      <c r="L107" s="1">
        <f>HYPERLINK("https://www.hi.u-tokyo.ac.jp/collection/degitalgallary/ryukyu/item/30106", "https://www.hi.u-tokyo.ac.jp/collection/degitalgallary/ryukyu/item/30106")</f>
        <v/>
      </c>
    </row>
    <row r="108">
      <c r="A108" t="inlineStr">
        <is>
          <t>30107</t>
        </is>
      </c>
      <c r="B108" t="inlineStr">
        <is>
          <t>船かゝり不成</t>
        </is>
      </c>
      <c r="C108" t="inlineStr">
        <is>
          <t>港湾</t>
        </is>
      </c>
      <c r="D108" t="inlineStr"/>
      <c r="E108" t="inlineStr"/>
      <c r="F108" t="inlineStr">
        <is>
          <t>正保琉球国八山島絵図</t>
        </is>
      </c>
      <c r="G108" t="inlineStr"/>
      <c r="H108" t="inlineStr"/>
      <c r="I108" t="inlineStr">
        <is>
          <t>51</t>
        </is>
      </c>
      <c r="J108" t="inlineStr"/>
      <c r="K108" t="inlineStr"/>
      <c r="L108" s="1">
        <f>HYPERLINK("https://www.hi.u-tokyo.ac.jp/collection/degitalgallary/ryukyu/item/30107", "https://www.hi.u-tokyo.ac.jp/collection/degitalgallary/ryukyu/item/30107")</f>
        <v/>
      </c>
    </row>
    <row r="109">
      <c r="A109" t="inlineStr">
        <is>
          <t>30108</t>
        </is>
      </c>
      <c r="B109" t="inlineStr">
        <is>
          <t>はなれ崎</t>
        </is>
      </c>
      <c r="C109" t="inlineStr">
        <is>
          <t>崎</t>
        </is>
      </c>
      <c r="D109" t="inlineStr">
        <is>
          <t>24.7466824</t>
        </is>
      </c>
      <c r="E109" t="inlineStr">
        <is>
          <t>124.7067146</t>
        </is>
      </c>
      <c r="F109" t="inlineStr">
        <is>
          <t>正保琉球国八山島絵図</t>
        </is>
      </c>
      <c r="G109" t="inlineStr"/>
      <c r="H109" t="inlineStr"/>
      <c r="I109" t="inlineStr">
        <is>
          <t>52</t>
        </is>
      </c>
      <c r="J109" t="inlineStr"/>
      <c r="K109" t="inlineStr">
        <is>
          <t>沖縄県宮古郡多良間村水納</t>
        </is>
      </c>
      <c r="L109" s="1">
        <f>HYPERLINK("https://www.hi.u-tokyo.ac.jp/collection/degitalgallary/ryukyu/item/30108", "https://www.hi.u-tokyo.ac.jp/collection/degitalgallary/ryukyu/item/30108")</f>
        <v/>
      </c>
    </row>
    <row r="110">
      <c r="A110" t="inlineStr">
        <is>
          <t>30109</t>
        </is>
      </c>
      <c r="B110" t="inlineStr">
        <is>
          <t>はま崎</t>
        </is>
      </c>
      <c r="C110" t="inlineStr">
        <is>
          <t>崎</t>
        </is>
      </c>
      <c r="D110" t="inlineStr">
        <is>
          <t>24.7620418</t>
        </is>
      </c>
      <c r="E110" t="inlineStr">
        <is>
          <t>124.6943654</t>
        </is>
      </c>
      <c r="F110" t="inlineStr">
        <is>
          <t>正保琉球国八山島絵図</t>
        </is>
      </c>
      <c r="G110" t="inlineStr"/>
      <c r="H110" t="inlineStr"/>
      <c r="I110" t="inlineStr">
        <is>
          <t>53</t>
        </is>
      </c>
      <c r="J110" t="inlineStr"/>
      <c r="K110" t="inlineStr">
        <is>
          <t>沖縄県宮古郡多良間村水納</t>
        </is>
      </c>
      <c r="L110" s="1">
        <f>HYPERLINK("https://www.hi.u-tokyo.ac.jp/collection/degitalgallary/ryukyu/item/30109", "https://www.hi.u-tokyo.ac.jp/collection/degitalgallary/ryukyu/item/30109")</f>
        <v/>
      </c>
    </row>
    <row r="111">
      <c r="A111" t="inlineStr">
        <is>
          <t>30110</t>
        </is>
      </c>
      <c r="B111" t="inlineStr">
        <is>
          <t>たらま嶋より石墻嶋之内ひらくほ崎迄、海上十八里申酉ノ間ニ当ル</t>
        </is>
      </c>
      <c r="C111" t="inlineStr">
        <is>
          <t>航路</t>
        </is>
      </c>
      <c r="D111" t="inlineStr"/>
      <c r="E111" t="inlineStr"/>
      <c r="F111" t="inlineStr">
        <is>
          <t>正保琉球国八山島絵図</t>
        </is>
      </c>
      <c r="G111" t="inlineStr"/>
      <c r="H111" t="inlineStr"/>
      <c r="I111" t="inlineStr">
        <is>
          <t>54</t>
        </is>
      </c>
      <c r="J111" t="inlineStr"/>
      <c r="K111" t="inlineStr"/>
      <c r="L111" s="1">
        <f>HYPERLINK("https://www.hi.u-tokyo.ac.jp/collection/degitalgallary/ryukyu/item/30110", "https://www.hi.u-tokyo.ac.jp/collection/degitalgallary/ryukyu/item/30110")</f>
        <v/>
      </c>
    </row>
    <row r="112">
      <c r="A112" t="inlineStr">
        <is>
          <t>30111</t>
        </is>
      </c>
      <c r="B112" t="inlineStr">
        <is>
          <t>うら崎</t>
        </is>
      </c>
      <c r="C112" t="inlineStr">
        <is>
          <t>崎</t>
        </is>
      </c>
      <c r="D112" t="inlineStr">
        <is>
          <t>24.605298</t>
        </is>
      </c>
      <c r="E112" t="inlineStr">
        <is>
          <t>124.339576</t>
        </is>
      </c>
      <c r="F112" t="inlineStr">
        <is>
          <t>正保琉球国八山島絵図</t>
        </is>
      </c>
      <c r="G112" t="inlineStr"/>
      <c r="H112" t="inlineStr"/>
      <c r="I112" t="inlineStr">
        <is>
          <t>55</t>
        </is>
      </c>
      <c r="J112" t="inlineStr"/>
      <c r="K112" t="inlineStr">
        <is>
          <t>沖縄県石垣市平久保</t>
        </is>
      </c>
      <c r="L112" s="1">
        <f>HYPERLINK("https://www.hi.u-tokyo.ac.jp/collection/degitalgallary/ryukyu/item/30111", "https://www.hi.u-tokyo.ac.jp/collection/degitalgallary/ryukyu/item/30111")</f>
        <v/>
      </c>
    </row>
    <row r="113">
      <c r="A113" t="inlineStr">
        <is>
          <t>30112</t>
        </is>
      </c>
      <c r="B113" t="inlineStr">
        <is>
          <t>ひらくほ</t>
        </is>
      </c>
      <c r="C113" t="inlineStr">
        <is>
          <t>港湾</t>
        </is>
      </c>
      <c r="D113" t="inlineStr"/>
      <c r="E113" t="inlineStr"/>
      <c r="F113" t="inlineStr">
        <is>
          <t>正保琉球国八山島絵図</t>
        </is>
      </c>
      <c r="G113" t="inlineStr">
        <is>
          <t>船かゝり不成</t>
        </is>
      </c>
      <c r="H113" t="inlineStr"/>
      <c r="I113" t="inlineStr">
        <is>
          <t>56</t>
        </is>
      </c>
      <c r="J113" t="inlineStr"/>
      <c r="K113" t="inlineStr"/>
      <c r="L113" s="1">
        <f>HYPERLINK("https://www.hi.u-tokyo.ac.jp/collection/degitalgallary/ryukyu/item/30112", "https://www.hi.u-tokyo.ac.jp/collection/degitalgallary/ryukyu/item/30112")</f>
        <v/>
      </c>
    </row>
    <row r="114">
      <c r="A114" t="inlineStr">
        <is>
          <t>30113</t>
        </is>
      </c>
      <c r="B114" t="inlineStr">
        <is>
          <t>ひらくほ崎</t>
        </is>
      </c>
      <c r="C114" t="inlineStr">
        <is>
          <t>崎</t>
        </is>
      </c>
      <c r="D114" t="inlineStr">
        <is>
          <t>24.6099416</t>
        </is>
      </c>
      <c r="E114" t="inlineStr">
        <is>
          <t>124.316105</t>
        </is>
      </c>
      <c r="F114" t="inlineStr">
        <is>
          <t>正保琉球国八山島絵図</t>
        </is>
      </c>
      <c r="G114" t="inlineStr"/>
      <c r="H114" t="inlineStr"/>
      <c r="I114" t="inlineStr">
        <is>
          <t>57</t>
        </is>
      </c>
      <c r="J114" t="inlineStr"/>
      <c r="K114" t="inlineStr">
        <is>
          <t>沖縄県石垣市平久保</t>
        </is>
      </c>
      <c r="L114" s="1">
        <f>HYPERLINK("https://www.hi.u-tokyo.ac.jp/collection/degitalgallary/ryukyu/item/30113", "https://www.hi.u-tokyo.ac.jp/collection/degitalgallary/ryukyu/item/30113")</f>
        <v/>
      </c>
    </row>
    <row r="115">
      <c r="A115" t="inlineStr">
        <is>
          <t>30114</t>
        </is>
      </c>
      <c r="B115" t="inlineStr">
        <is>
          <t>石墻嶋之内ひらくほ崎より同嶋之内川平湊迄、海上五里半</t>
        </is>
      </c>
      <c r="C115" t="inlineStr">
        <is>
          <t>航路</t>
        </is>
      </c>
      <c r="D115" t="inlineStr"/>
      <c r="E115" t="inlineStr"/>
      <c r="F115" t="inlineStr">
        <is>
          <t>正保琉球国八山島絵図</t>
        </is>
      </c>
      <c r="G115" t="inlineStr"/>
      <c r="H115" t="inlineStr"/>
      <c r="I115" t="inlineStr">
        <is>
          <t>58</t>
        </is>
      </c>
      <c r="J115" t="inlineStr"/>
      <c r="K115" t="inlineStr"/>
      <c r="L115" s="1">
        <f>HYPERLINK("https://www.hi.u-tokyo.ac.jp/collection/degitalgallary/ryukyu/item/30114", "https://www.hi.u-tokyo.ac.jp/collection/degitalgallary/ryukyu/item/30114")</f>
        <v/>
      </c>
    </row>
    <row r="116">
      <c r="A116" t="inlineStr">
        <is>
          <t>30115</t>
        </is>
      </c>
      <c r="B116" t="inlineStr">
        <is>
          <t>歩渡り</t>
        </is>
      </c>
      <c r="C116" t="inlineStr">
        <is>
          <t>渡河点</t>
        </is>
      </c>
      <c r="D116" t="inlineStr"/>
      <c r="E116" t="inlineStr"/>
      <c r="F116" t="inlineStr">
        <is>
          <t>正保琉球国八山島絵図</t>
        </is>
      </c>
      <c r="G116" t="inlineStr"/>
      <c r="H116" t="inlineStr"/>
      <c r="I116" t="inlineStr">
        <is>
          <t>59</t>
        </is>
      </c>
      <c r="J116" t="inlineStr"/>
      <c r="K116" t="inlineStr"/>
      <c r="L116" s="1">
        <f>HYPERLINK("https://www.hi.u-tokyo.ac.jp/collection/degitalgallary/ryukyu/item/30115", "https://www.hi.u-tokyo.ac.jp/collection/degitalgallary/ryukyu/item/30115")</f>
        <v/>
      </c>
    </row>
    <row r="117">
      <c r="A117" t="inlineStr">
        <is>
          <t>30116</t>
        </is>
      </c>
      <c r="B117" t="inlineStr">
        <is>
          <t>たてく崎</t>
        </is>
      </c>
      <c r="C117" t="inlineStr">
        <is>
          <t>崎</t>
        </is>
      </c>
      <c r="D117" t="inlineStr">
        <is>
          <t>24.5607387</t>
        </is>
      </c>
      <c r="E117" t="inlineStr">
        <is>
          <t>124.2831431</t>
        </is>
      </c>
      <c r="F117" t="inlineStr">
        <is>
          <t>正保琉球国八山島絵図</t>
        </is>
      </c>
      <c r="G117" t="inlineStr"/>
      <c r="H117" t="inlineStr"/>
      <c r="I117" t="inlineStr">
        <is>
          <t>60</t>
        </is>
      </c>
      <c r="J117" t="inlineStr"/>
      <c r="K117" t="inlineStr">
        <is>
          <t>沖縄県石垣市平久保</t>
        </is>
      </c>
      <c r="L117" s="1">
        <f>HYPERLINK("https://www.hi.u-tokyo.ac.jp/collection/degitalgallary/ryukyu/item/30116", "https://www.hi.u-tokyo.ac.jp/collection/degitalgallary/ryukyu/item/30116")</f>
        <v/>
      </c>
    </row>
    <row r="118">
      <c r="A118" t="inlineStr">
        <is>
          <t>30117</t>
        </is>
      </c>
      <c r="B118" t="inlineStr">
        <is>
          <t>石崎</t>
        </is>
      </c>
      <c r="C118" t="inlineStr">
        <is>
          <t>崎</t>
        </is>
      </c>
      <c r="D118" t="inlineStr">
        <is>
          <t>24.519363</t>
        </is>
      </c>
      <c r="E118" t="inlineStr">
        <is>
          <t>124.2567142</t>
        </is>
      </c>
      <c r="F118" t="inlineStr">
        <is>
          <t>正保琉球国八山島絵図</t>
        </is>
      </c>
      <c r="G118" t="inlineStr"/>
      <c r="H118" t="inlineStr"/>
      <c r="I118" t="inlineStr">
        <is>
          <t>61</t>
        </is>
      </c>
      <c r="J118" t="inlineStr"/>
      <c r="K118" t="inlineStr">
        <is>
          <t>沖縄県石垣市野底</t>
        </is>
      </c>
      <c r="L118" s="1">
        <f>HYPERLINK("https://www.hi.u-tokyo.ac.jp/collection/degitalgallary/ryukyu/item/30117", "https://www.hi.u-tokyo.ac.jp/collection/degitalgallary/ryukyu/item/30117")</f>
        <v/>
      </c>
    </row>
    <row r="119">
      <c r="A119" t="inlineStr">
        <is>
          <t>30118</t>
        </is>
      </c>
      <c r="B119" t="inlineStr">
        <is>
          <t>野城崎</t>
        </is>
      </c>
      <c r="C119" t="inlineStr">
        <is>
          <t>崎</t>
        </is>
      </c>
      <c r="D119" t="inlineStr">
        <is>
          <t>24.4987679</t>
        </is>
      </c>
      <c r="E119" t="inlineStr">
        <is>
          <t>124.2294752</t>
        </is>
      </c>
      <c r="F119" t="inlineStr">
        <is>
          <t>正保琉球国八山島絵図</t>
        </is>
      </c>
      <c r="G119" t="inlineStr"/>
      <c r="H119" t="inlineStr"/>
      <c r="I119" t="inlineStr">
        <is>
          <t>62</t>
        </is>
      </c>
      <c r="J119" t="inlineStr"/>
      <c r="K119" t="inlineStr">
        <is>
          <t>沖縄県石垣市野底</t>
        </is>
      </c>
      <c r="L119" s="1">
        <f>HYPERLINK("https://www.hi.u-tokyo.ac.jp/collection/degitalgallary/ryukyu/item/30118", "https://www.hi.u-tokyo.ac.jp/collection/degitalgallary/ryukyu/item/30118")</f>
        <v/>
      </c>
    </row>
    <row r="120">
      <c r="A120" t="inlineStr">
        <is>
          <t>30119</t>
        </is>
      </c>
      <c r="B120" t="inlineStr">
        <is>
          <t>歩渡り</t>
        </is>
      </c>
      <c r="C120" t="inlineStr">
        <is>
          <t>渡河点</t>
        </is>
      </c>
      <c r="D120" t="inlineStr"/>
      <c r="E120" t="inlineStr"/>
      <c r="F120" t="inlineStr">
        <is>
          <t>正保琉球国八山島絵図</t>
        </is>
      </c>
      <c r="G120" t="inlineStr"/>
      <c r="H120" t="inlineStr"/>
      <c r="I120" t="inlineStr">
        <is>
          <t>63</t>
        </is>
      </c>
      <c r="J120" t="inlineStr"/>
      <c r="K120" t="inlineStr"/>
      <c r="L120" s="1">
        <f>HYPERLINK("https://www.hi.u-tokyo.ac.jp/collection/degitalgallary/ryukyu/item/30119", "https://www.hi.u-tokyo.ac.jp/collection/degitalgallary/ryukyu/item/30119")</f>
        <v/>
      </c>
    </row>
    <row r="121">
      <c r="A121" t="inlineStr">
        <is>
          <t>30120</t>
        </is>
      </c>
      <c r="B121" t="inlineStr">
        <is>
          <t>ともり崎</t>
        </is>
      </c>
      <c r="C121" t="inlineStr">
        <is>
          <t>崎</t>
        </is>
      </c>
      <c r="D121" t="inlineStr">
        <is>
          <t>24.5316828</t>
        </is>
      </c>
      <c r="E121" t="inlineStr">
        <is>
          <t>124.3078897</t>
        </is>
      </c>
      <c r="F121" t="inlineStr">
        <is>
          <t>正保琉球国八山島絵図</t>
        </is>
      </c>
      <c r="G121" t="inlineStr"/>
      <c r="H121" t="inlineStr"/>
      <c r="I121" t="inlineStr">
        <is>
          <t>64</t>
        </is>
      </c>
      <c r="J121" t="inlineStr"/>
      <c r="K121" t="inlineStr">
        <is>
          <t>沖縄県石垣市伊原間</t>
        </is>
      </c>
      <c r="L121" s="1">
        <f>HYPERLINK("https://www.hi.u-tokyo.ac.jp/collection/degitalgallary/ryukyu/item/30120", "https://www.hi.u-tokyo.ac.jp/collection/degitalgallary/ryukyu/item/30120")</f>
        <v/>
      </c>
    </row>
    <row r="122">
      <c r="A122" t="inlineStr">
        <is>
          <t>30121</t>
        </is>
      </c>
      <c r="B122" t="inlineStr">
        <is>
          <t>たまとう崎</t>
        </is>
      </c>
      <c r="C122" t="inlineStr">
        <is>
          <t>崎</t>
        </is>
      </c>
      <c r="D122" t="inlineStr">
        <is>
          <t>24.4906342</t>
        </is>
      </c>
      <c r="E122" t="inlineStr">
        <is>
          <t>124.2789102</t>
        </is>
      </c>
      <c r="F122" t="inlineStr">
        <is>
          <t>正保琉球国八山島絵図</t>
        </is>
      </c>
      <c r="G122" t="inlineStr"/>
      <c r="H122" t="inlineStr"/>
      <c r="I122" t="inlineStr">
        <is>
          <t>65</t>
        </is>
      </c>
      <c r="J122" t="inlineStr"/>
      <c r="K122" t="inlineStr">
        <is>
          <t>沖縄県石垣市伊原間</t>
        </is>
      </c>
      <c r="L122" s="1">
        <f>HYPERLINK("https://www.hi.u-tokyo.ac.jp/collection/degitalgallary/ryukyu/item/30121", "https://www.hi.u-tokyo.ac.jp/collection/degitalgallary/ryukyu/item/30121")</f>
        <v/>
      </c>
    </row>
    <row r="123">
      <c r="A123" t="inlineStr">
        <is>
          <t>30122</t>
        </is>
      </c>
      <c r="B123" t="inlineStr">
        <is>
          <t>はう崎</t>
        </is>
      </c>
      <c r="C123" t="inlineStr">
        <is>
          <t>崎</t>
        </is>
      </c>
      <c r="D123" t="inlineStr"/>
      <c r="E123" t="inlineStr"/>
      <c r="F123" t="inlineStr">
        <is>
          <t>正保琉球国八山島絵図</t>
        </is>
      </c>
      <c r="G123" t="inlineStr"/>
      <c r="H123" t="inlineStr"/>
      <c r="I123" t="inlineStr">
        <is>
          <t>66</t>
        </is>
      </c>
      <c r="J123" t="inlineStr"/>
      <c r="K123" t="inlineStr"/>
      <c r="L123" s="1">
        <f>HYPERLINK("https://www.hi.u-tokyo.ac.jp/collection/degitalgallary/ryukyu/item/30122", "https://www.hi.u-tokyo.ac.jp/collection/degitalgallary/ryukyu/item/30122")</f>
        <v/>
      </c>
    </row>
    <row r="124">
      <c r="A124" t="inlineStr">
        <is>
          <t>30123</t>
        </is>
      </c>
      <c r="B124" t="inlineStr">
        <is>
          <t>歩渡り</t>
        </is>
      </c>
      <c r="C124" t="inlineStr">
        <is>
          <t>渡河点</t>
        </is>
      </c>
      <c r="D124" t="inlineStr"/>
      <c r="E124" t="inlineStr"/>
      <c r="F124" t="inlineStr">
        <is>
          <t>正保琉球国八山島絵図</t>
        </is>
      </c>
      <c r="G124" t="inlineStr"/>
      <c r="H124" t="inlineStr"/>
      <c r="I124" t="inlineStr">
        <is>
          <t>67</t>
        </is>
      </c>
      <c r="J124" t="inlineStr"/>
      <c r="K124" t="inlineStr"/>
      <c r="L124" s="1">
        <f>HYPERLINK("https://www.hi.u-tokyo.ac.jp/collection/degitalgallary/ryukyu/item/30123", "https://www.hi.u-tokyo.ac.jp/collection/degitalgallary/ryukyu/item/30123")</f>
        <v/>
      </c>
    </row>
    <row r="125">
      <c r="A125" t="inlineStr">
        <is>
          <t>30124</t>
        </is>
      </c>
      <c r="B125" t="inlineStr">
        <is>
          <t>大野崎</t>
        </is>
      </c>
      <c r="C125" t="inlineStr">
        <is>
          <t>崎</t>
        </is>
      </c>
      <c r="D125" t="inlineStr"/>
      <c r="E125" t="inlineStr"/>
      <c r="F125" t="inlineStr">
        <is>
          <t>正保琉球国八山島絵図</t>
        </is>
      </c>
      <c r="G125" t="inlineStr"/>
      <c r="H125" t="inlineStr"/>
      <c r="I125" t="inlineStr">
        <is>
          <t>68</t>
        </is>
      </c>
      <c r="J125" t="inlineStr"/>
      <c r="K125" t="inlineStr"/>
      <c r="L125" s="1">
        <f>HYPERLINK("https://www.hi.u-tokyo.ac.jp/collection/degitalgallary/ryukyu/item/30124", "https://www.hi.u-tokyo.ac.jp/collection/degitalgallary/ryukyu/item/30124")</f>
        <v/>
      </c>
    </row>
    <row r="126">
      <c r="A126" t="inlineStr">
        <is>
          <t>30125</t>
        </is>
      </c>
      <c r="B126" t="inlineStr">
        <is>
          <t>石墻嶋
八重山嶋之内
嶋廻り十六里十七町
高弐千五百三拾八石七升九合</t>
        </is>
      </c>
      <c r="C126" t="inlineStr">
        <is>
          <t>島</t>
        </is>
      </c>
      <c r="D126" t="inlineStr">
        <is>
          <t>24.4063954</t>
        </is>
      </c>
      <c r="E126" t="inlineStr">
        <is>
          <t>124.1754627</t>
        </is>
      </c>
      <c r="F126" t="inlineStr">
        <is>
          <t>正保琉球国八山島絵図</t>
        </is>
      </c>
      <c r="G126" t="inlineStr"/>
      <c r="H126" t="inlineStr"/>
      <c r="I126" t="inlineStr">
        <is>
          <t>69</t>
        </is>
      </c>
      <c r="J126" t="inlineStr"/>
      <c r="K126" t="inlineStr">
        <is>
          <t>沖縄県石垣市字登野城</t>
        </is>
      </c>
      <c r="L126" s="1">
        <f>HYPERLINK("https://www.hi.u-tokyo.ac.jp/collection/degitalgallary/ryukyu/item/30125", "https://www.hi.u-tokyo.ac.jp/collection/degitalgallary/ryukyu/item/30125")</f>
        <v/>
      </c>
    </row>
    <row r="127">
      <c r="A127" t="inlineStr">
        <is>
          <t>30126</t>
        </is>
      </c>
      <c r="B127" t="inlineStr">
        <is>
          <t>おもと獄</t>
        </is>
      </c>
      <c r="C127" t="inlineStr">
        <is>
          <t>山</t>
        </is>
      </c>
      <c r="D127" t="inlineStr">
        <is>
          <t>24.4272609</t>
        </is>
      </c>
      <c r="E127" t="inlineStr">
        <is>
          <t>124.1834898</t>
        </is>
      </c>
      <c r="F127" t="inlineStr">
        <is>
          <t>正保琉球国八山島絵図</t>
        </is>
      </c>
      <c r="G127" t="inlineStr"/>
      <c r="H127" t="inlineStr"/>
      <c r="I127" t="inlineStr">
        <is>
          <t>70</t>
        </is>
      </c>
      <c r="J127" t="inlineStr"/>
      <c r="K127" t="inlineStr">
        <is>
          <t>沖縄県石垣市桴海</t>
        </is>
      </c>
      <c r="L127" s="1">
        <f>HYPERLINK("https://www.hi.u-tokyo.ac.jp/collection/degitalgallary/ryukyu/item/30126", "https://www.hi.u-tokyo.ac.jp/collection/degitalgallary/ryukyu/item/30126")</f>
        <v/>
      </c>
    </row>
    <row r="128">
      <c r="A128" t="inlineStr">
        <is>
          <t>30127</t>
        </is>
      </c>
      <c r="B128" t="inlineStr">
        <is>
          <t>川平</t>
        </is>
      </c>
      <c r="C128" t="inlineStr">
        <is>
          <t>港湾</t>
        </is>
      </c>
      <c r="D128" t="inlineStr">
        <is>
          <t>24.4627757</t>
        </is>
      </c>
      <c r="E128" t="inlineStr">
        <is>
          <t>124.1439629</t>
        </is>
      </c>
      <c r="F128" t="inlineStr">
        <is>
          <t>正保琉球国八山島絵図</t>
        </is>
      </c>
      <c r="G128" t="inlineStr">
        <is>
          <t>川平湊口、広三十八間、深十二尋、湊内、入六町、広一町
船繋場、深二尋、大船二三十艘程繋ル、西風ニ船繋悪シ、沖汗（ママ、干ヵ）瀬之間船出入口三十七間、深十二尋</t>
        </is>
      </c>
      <c r="H128" t="inlineStr"/>
      <c r="I128" t="inlineStr">
        <is>
          <t>71</t>
        </is>
      </c>
      <c r="J128" t="inlineStr"/>
      <c r="K128" t="inlineStr">
        <is>
          <t>沖縄県石垣市川平</t>
        </is>
      </c>
      <c r="L128" s="1">
        <f>HYPERLINK("https://www.hi.u-tokyo.ac.jp/collection/degitalgallary/ryukyu/item/30127", "https://www.hi.u-tokyo.ac.jp/collection/degitalgallary/ryukyu/item/30127")</f>
        <v/>
      </c>
    </row>
    <row r="129">
      <c r="A129" t="inlineStr">
        <is>
          <t>30128</t>
        </is>
      </c>
      <c r="B129" t="inlineStr">
        <is>
          <t>川平湊より御崎泊迄海上六里</t>
        </is>
      </c>
      <c r="C129" t="inlineStr">
        <is>
          <t>航路</t>
        </is>
      </c>
      <c r="D129" t="inlineStr"/>
      <c r="E129" t="inlineStr"/>
      <c r="F129" t="inlineStr">
        <is>
          <t>正保琉球国八山島絵図</t>
        </is>
      </c>
      <c r="G129" t="inlineStr"/>
      <c r="H129" t="inlineStr"/>
      <c r="I129" t="inlineStr">
        <is>
          <t>72</t>
        </is>
      </c>
      <c r="J129" t="inlineStr"/>
      <c r="K129" t="inlineStr"/>
      <c r="L129" s="1">
        <f>HYPERLINK("https://www.hi.u-tokyo.ac.jp/collection/degitalgallary/ryukyu/item/30128", "https://www.hi.u-tokyo.ac.jp/collection/degitalgallary/ryukyu/item/30128")</f>
        <v/>
      </c>
    </row>
    <row r="130">
      <c r="A130" t="inlineStr">
        <is>
          <t>30129</t>
        </is>
      </c>
      <c r="B130" t="inlineStr">
        <is>
          <t>磯城崎</t>
        </is>
      </c>
      <c r="C130" t="inlineStr">
        <is>
          <t>崎</t>
        </is>
      </c>
      <c r="D130" t="inlineStr">
        <is>
          <t>24.47876</t>
        </is>
      </c>
      <c r="E130" t="inlineStr">
        <is>
          <t>124.113288</t>
        </is>
      </c>
      <c r="F130" t="inlineStr">
        <is>
          <t>正保琉球国八山島絵図</t>
        </is>
      </c>
      <c r="G130" t="inlineStr"/>
      <c r="H130" t="inlineStr"/>
      <c r="I130" t="inlineStr">
        <is>
          <t>73</t>
        </is>
      </c>
      <c r="J130" t="inlineStr"/>
      <c r="K130" t="inlineStr">
        <is>
          <t>沖縄県石垣市川平</t>
        </is>
      </c>
      <c r="L130" s="1">
        <f>HYPERLINK("https://www.hi.u-tokyo.ac.jp/collection/degitalgallary/ryukyu/item/30129", "https://www.hi.u-tokyo.ac.jp/collection/degitalgallary/ryukyu/item/30129")</f>
        <v/>
      </c>
    </row>
    <row r="131">
      <c r="A131" t="inlineStr">
        <is>
          <t>30130</t>
        </is>
      </c>
      <c r="B131" t="inlineStr">
        <is>
          <t>おかみ崎</t>
        </is>
      </c>
      <c r="C131" t="inlineStr">
        <is>
          <t>崎</t>
        </is>
      </c>
      <c r="D131" t="inlineStr">
        <is>
          <t>24.4531756</t>
        </is>
      </c>
      <c r="E131" t="inlineStr">
        <is>
          <t>124.0770257</t>
        </is>
      </c>
      <c r="F131" t="inlineStr">
        <is>
          <t>正保琉球国八山島絵図</t>
        </is>
      </c>
      <c r="G131" t="inlineStr"/>
      <c r="H131" t="inlineStr"/>
      <c r="I131" t="inlineStr">
        <is>
          <t>74</t>
        </is>
      </c>
      <c r="J131" t="inlineStr"/>
      <c r="K131" t="inlineStr">
        <is>
          <t>沖縄県石垣市崎枝</t>
        </is>
      </c>
      <c r="L131" s="1">
        <f>HYPERLINK("https://www.hi.u-tokyo.ac.jp/collection/degitalgallary/ryukyu/item/30130", "https://www.hi.u-tokyo.ac.jp/collection/degitalgallary/ryukyu/item/30130")</f>
        <v/>
      </c>
    </row>
    <row r="132">
      <c r="A132" t="inlineStr">
        <is>
          <t>30131</t>
        </is>
      </c>
      <c r="B132" t="inlineStr">
        <is>
          <t>平瀬崎</t>
        </is>
      </c>
      <c r="C132" t="inlineStr">
        <is>
          <t>崎</t>
        </is>
      </c>
      <c r="D132" t="inlineStr">
        <is>
          <t>24.4315961</t>
        </is>
      </c>
      <c r="E132" t="inlineStr">
        <is>
          <t>124.070624</t>
        </is>
      </c>
      <c r="F132" t="inlineStr">
        <is>
          <t>正保琉球国八山島絵図</t>
        </is>
      </c>
      <c r="G132" t="inlineStr"/>
      <c r="H132" t="inlineStr"/>
      <c r="I132" t="inlineStr">
        <is>
          <t>75</t>
        </is>
      </c>
      <c r="J132" t="inlineStr"/>
      <c r="K132" t="inlineStr">
        <is>
          <t>沖縄県石垣市崎枝</t>
        </is>
      </c>
      <c r="L132" s="1">
        <f>HYPERLINK("https://www.hi.u-tokyo.ac.jp/collection/degitalgallary/ryukyu/item/30131", "https://www.hi.u-tokyo.ac.jp/collection/degitalgallary/ryukyu/item/30131")</f>
        <v/>
      </c>
    </row>
    <row r="133">
      <c r="A133" t="inlineStr">
        <is>
          <t>30132</t>
        </is>
      </c>
      <c r="B133" t="inlineStr">
        <is>
          <t>大崎</t>
        </is>
      </c>
      <c r="C133" t="inlineStr">
        <is>
          <t>崎</t>
        </is>
      </c>
      <c r="D133" t="inlineStr">
        <is>
          <t>24.4166896</t>
        </is>
      </c>
      <c r="E133" t="inlineStr">
        <is>
          <t>124.0848111</t>
        </is>
      </c>
      <c r="F133" t="inlineStr">
        <is>
          <t>正保琉球国八山島絵図</t>
        </is>
      </c>
      <c r="G133" t="inlineStr"/>
      <c r="H133" t="inlineStr"/>
      <c r="I133" t="inlineStr">
        <is>
          <t>76</t>
        </is>
      </c>
      <c r="J133" t="inlineStr"/>
      <c r="K133" t="inlineStr">
        <is>
          <t>沖縄県石垣市崎枝</t>
        </is>
      </c>
      <c r="L133" s="1">
        <f>HYPERLINK("https://www.hi.u-tokyo.ac.jp/collection/degitalgallary/ryukyu/item/30132", "https://www.hi.u-tokyo.ac.jp/collection/degitalgallary/ryukyu/item/30132")</f>
        <v/>
      </c>
    </row>
    <row r="134">
      <c r="A134" t="inlineStr">
        <is>
          <t>30133</t>
        </is>
      </c>
      <c r="B134" t="inlineStr">
        <is>
          <t>いやうち崎</t>
        </is>
      </c>
      <c r="C134" t="inlineStr">
        <is>
          <t>崎</t>
        </is>
      </c>
      <c r="D134" t="inlineStr">
        <is>
          <t>24.3657154</t>
        </is>
      </c>
      <c r="E134" t="inlineStr">
        <is>
          <t>124.1114967</t>
        </is>
      </c>
      <c r="F134" t="inlineStr">
        <is>
          <t>正保琉球国八山島絵図</t>
        </is>
      </c>
      <c r="G134" t="inlineStr"/>
      <c r="H134" t="inlineStr"/>
      <c r="I134" t="inlineStr">
        <is>
          <t>77</t>
        </is>
      </c>
      <c r="J134" t="inlineStr"/>
      <c r="K134" t="inlineStr">
        <is>
          <t>沖縄県石垣市新川</t>
        </is>
      </c>
      <c r="L134" s="1">
        <f>HYPERLINK("https://www.hi.u-tokyo.ac.jp/collection/degitalgallary/ryukyu/item/30133", "https://www.hi.u-tokyo.ac.jp/collection/degitalgallary/ryukyu/item/30133")</f>
        <v/>
      </c>
    </row>
    <row r="135">
      <c r="A135" t="inlineStr">
        <is>
          <t>30134</t>
        </is>
      </c>
      <c r="B135" t="inlineStr">
        <is>
          <t>権現</t>
        </is>
      </c>
      <c r="C135" t="inlineStr">
        <is>
          <t>寺社</t>
        </is>
      </c>
      <c r="D135" t="inlineStr">
        <is>
          <t>24.3434311</t>
        </is>
      </c>
      <c r="E135" t="inlineStr">
        <is>
          <t>124.1558618</t>
        </is>
      </c>
      <c r="F135" t="inlineStr">
        <is>
          <t>正保琉球国八山島絵図</t>
        </is>
      </c>
      <c r="G135" t="inlineStr"/>
      <c r="H135" t="inlineStr"/>
      <c r="I135" t="inlineStr">
        <is>
          <t>78</t>
        </is>
      </c>
      <c r="J135" t="inlineStr"/>
      <c r="K135" t="inlineStr">
        <is>
          <t>沖縄県石垣市石垣</t>
        </is>
      </c>
      <c r="L135" s="1">
        <f>HYPERLINK("https://www.hi.u-tokyo.ac.jp/collection/degitalgallary/ryukyu/item/30134", "https://www.hi.u-tokyo.ac.jp/collection/degitalgallary/ryukyu/item/30134")</f>
        <v/>
      </c>
    </row>
    <row r="136">
      <c r="A136" t="inlineStr">
        <is>
          <t>30135</t>
        </is>
      </c>
      <c r="B136" t="inlineStr">
        <is>
          <t>御崎おかみ</t>
        </is>
      </c>
      <c r="C136" t="inlineStr">
        <is>
          <t>その他</t>
        </is>
      </c>
      <c r="D136" t="inlineStr">
        <is>
          <t>24.341124</t>
        </is>
      </c>
      <c r="E136" t="inlineStr">
        <is>
          <t>124.1511325</t>
        </is>
      </c>
      <c r="F136" t="inlineStr">
        <is>
          <t>正保琉球国八山島絵図</t>
        </is>
      </c>
      <c r="G136" t="inlineStr"/>
      <c r="H136" t="inlineStr"/>
      <c r="I136" t="inlineStr">
        <is>
          <t>79</t>
        </is>
      </c>
      <c r="J136" t="inlineStr"/>
      <c r="K136" t="inlineStr">
        <is>
          <t>沖縄県石垣市浜崎町</t>
        </is>
      </c>
      <c r="L136" s="1">
        <f>HYPERLINK("https://www.hi.u-tokyo.ac.jp/collection/degitalgallary/ryukyu/item/30135", "https://www.hi.u-tokyo.ac.jp/collection/degitalgallary/ryukyu/item/30135")</f>
        <v/>
      </c>
    </row>
    <row r="137">
      <c r="A137" t="inlineStr">
        <is>
          <t>30136</t>
        </is>
      </c>
      <c r="B137" t="inlineStr">
        <is>
          <t>御崎泊
船繋り不成</t>
        </is>
      </c>
      <c r="C137" t="inlineStr">
        <is>
          <t>港湾</t>
        </is>
      </c>
      <c r="D137" t="inlineStr">
        <is>
          <t>24.3378201</t>
        </is>
      </c>
      <c r="E137" t="inlineStr">
        <is>
          <t>124.1489786</t>
        </is>
      </c>
      <c r="F137" t="inlineStr">
        <is>
          <t>正保琉球国八山島絵図</t>
        </is>
      </c>
      <c r="G137" t="inlineStr"/>
      <c r="H137" t="inlineStr"/>
      <c r="I137" t="inlineStr">
        <is>
          <t>80・81</t>
        </is>
      </c>
      <c r="J137" t="inlineStr"/>
      <c r="K137" t="inlineStr">
        <is>
          <t>沖縄県石垣市浜崎町</t>
        </is>
      </c>
      <c r="L137" s="1">
        <f>HYPERLINK("https://www.hi.u-tokyo.ac.jp/collection/degitalgallary/ryukyu/item/30136", "https://www.hi.u-tokyo.ac.jp/collection/degitalgallary/ryukyu/item/30136")</f>
        <v/>
      </c>
    </row>
    <row r="138">
      <c r="A138" t="inlineStr">
        <is>
          <t>30137</t>
        </is>
      </c>
      <c r="B138" t="inlineStr">
        <is>
          <t>さきはる崎</t>
        </is>
      </c>
      <c r="C138" t="inlineStr">
        <is>
          <t>崎</t>
        </is>
      </c>
      <c r="D138" t="inlineStr">
        <is>
          <t>24.3461619</t>
        </is>
      </c>
      <c r="E138" t="inlineStr">
        <is>
          <t>124.2006259</t>
        </is>
      </c>
      <c r="F138" t="inlineStr">
        <is>
          <t>正保琉球国八山島絵図</t>
        </is>
      </c>
      <c r="G138" t="inlineStr"/>
      <c r="H138" t="inlineStr"/>
      <c r="I138" t="inlineStr">
        <is>
          <t>82</t>
        </is>
      </c>
      <c r="J138" t="inlineStr"/>
      <c r="K138" t="inlineStr">
        <is>
          <t>沖縄県石垣市大浜</t>
        </is>
      </c>
      <c r="L138" s="1">
        <f>HYPERLINK("https://www.hi.u-tokyo.ac.jp/collection/degitalgallary/ryukyu/item/30137", "https://www.hi.u-tokyo.ac.jp/collection/degitalgallary/ryukyu/item/30137")</f>
        <v/>
      </c>
    </row>
    <row r="139">
      <c r="A139" t="inlineStr">
        <is>
          <t>30138</t>
        </is>
      </c>
      <c r="B139" t="inlineStr">
        <is>
          <t>歩渡り</t>
        </is>
      </c>
      <c r="C139" t="inlineStr">
        <is>
          <t>渡河点</t>
        </is>
      </c>
      <c r="D139" t="inlineStr">
        <is>
          <t>24.3590218</t>
        </is>
      </c>
      <c r="E139" t="inlineStr">
        <is>
          <t>124.2111065</t>
        </is>
      </c>
      <c r="F139" t="inlineStr">
        <is>
          <t>正保琉球国八山島絵図</t>
        </is>
      </c>
      <c r="G139" t="inlineStr"/>
      <c r="H139" t="inlineStr"/>
      <c r="I139" t="inlineStr">
        <is>
          <t>83</t>
        </is>
      </c>
      <c r="J139" t="inlineStr"/>
      <c r="K139" t="inlineStr">
        <is>
          <t>沖縄県石垣市宮良</t>
        </is>
      </c>
      <c r="L139" s="1">
        <f>HYPERLINK("https://www.hi.u-tokyo.ac.jp/collection/degitalgallary/ryukyu/item/30138", "https://www.hi.u-tokyo.ac.jp/collection/degitalgallary/ryukyu/item/30138")</f>
        <v/>
      </c>
    </row>
    <row r="140">
      <c r="A140" t="inlineStr">
        <is>
          <t>30139</t>
        </is>
      </c>
      <c r="B140" t="inlineStr">
        <is>
          <t>かなはか崎</t>
        </is>
      </c>
      <c r="C140" t="inlineStr">
        <is>
          <t>崎</t>
        </is>
      </c>
      <c r="D140" t="inlineStr"/>
      <c r="E140" t="inlineStr"/>
      <c r="F140" t="inlineStr">
        <is>
          <t>正保琉球国八山島絵図</t>
        </is>
      </c>
      <c r="G140" t="inlineStr"/>
      <c r="H140" t="inlineStr"/>
      <c r="I140" t="inlineStr">
        <is>
          <t>84</t>
        </is>
      </c>
      <c r="J140" t="inlineStr"/>
      <c r="K140" t="inlineStr"/>
      <c r="L140" s="1">
        <f>HYPERLINK("https://www.hi.u-tokyo.ac.jp/collection/degitalgallary/ryukyu/item/30139", "https://www.hi.u-tokyo.ac.jp/collection/degitalgallary/ryukyu/item/30139")</f>
        <v/>
      </c>
    </row>
    <row r="141">
      <c r="A141" t="inlineStr">
        <is>
          <t>30140</t>
        </is>
      </c>
      <c r="B141" t="inlineStr">
        <is>
          <t>あみかけ崎</t>
        </is>
      </c>
      <c r="C141" t="inlineStr">
        <is>
          <t>崎</t>
        </is>
      </c>
      <c r="D141" t="inlineStr"/>
      <c r="E141" t="inlineStr"/>
      <c r="F141" t="inlineStr">
        <is>
          <t>正保琉球国八山島絵図</t>
        </is>
      </c>
      <c r="G141" t="inlineStr"/>
      <c r="H141" t="inlineStr"/>
      <c r="I141" t="inlineStr">
        <is>
          <t>85</t>
        </is>
      </c>
      <c r="J141" t="inlineStr"/>
      <c r="K141" t="inlineStr"/>
      <c r="L141" s="1">
        <f>HYPERLINK("https://www.hi.u-tokyo.ac.jp/collection/degitalgallary/ryukyu/item/30140", "https://www.hi.u-tokyo.ac.jp/collection/degitalgallary/ryukyu/item/30140")</f>
        <v/>
      </c>
    </row>
    <row r="142">
      <c r="A142" t="inlineStr">
        <is>
          <t>30141</t>
        </is>
      </c>
      <c r="B142" t="inlineStr">
        <is>
          <t>御崎泊よりたけとみ嶋迄、海上一里廿六町</t>
        </is>
      </c>
      <c r="C142" t="inlineStr">
        <is>
          <t>航路</t>
        </is>
      </c>
      <c r="D142" t="inlineStr"/>
      <c r="E142" t="inlineStr"/>
      <c r="F142" t="inlineStr">
        <is>
          <t>正保琉球国八山島絵図</t>
        </is>
      </c>
      <c r="G142" t="inlineStr"/>
      <c r="H142" t="inlineStr"/>
      <c r="I142" t="inlineStr">
        <is>
          <t>86</t>
        </is>
      </c>
      <c r="J142" t="inlineStr"/>
      <c r="K142" t="inlineStr"/>
      <c r="L142" s="1">
        <f>HYPERLINK("https://www.hi.u-tokyo.ac.jp/collection/degitalgallary/ryukyu/item/30141", "https://www.hi.u-tokyo.ac.jp/collection/degitalgallary/ryukyu/item/30141")</f>
        <v/>
      </c>
    </row>
    <row r="143">
      <c r="A143" t="inlineStr">
        <is>
          <t>30142</t>
        </is>
      </c>
      <c r="B143" t="inlineStr">
        <is>
          <t>たけとみ嶋</t>
        </is>
      </c>
      <c r="C143" t="inlineStr">
        <is>
          <t>島</t>
        </is>
      </c>
      <c r="D143" t="inlineStr">
        <is>
          <t>24.3267023</t>
        </is>
      </c>
      <c r="E143" t="inlineStr">
        <is>
          <t>124.0893962</t>
        </is>
      </c>
      <c r="F143" t="inlineStr">
        <is>
          <t>正保琉球国八山島絵図</t>
        </is>
      </c>
      <c r="G143" t="inlineStr">
        <is>
          <t>石墻嶋之内
嶋廻り一里卅町</t>
        </is>
      </c>
      <c r="H143" t="inlineStr"/>
      <c r="I143" t="inlineStr">
        <is>
          <t>87</t>
        </is>
      </c>
      <c r="J143" t="inlineStr"/>
      <c r="K143" t="inlineStr">
        <is>
          <t>沖縄県八重山郡竹富町竹富</t>
        </is>
      </c>
      <c r="L143" s="1">
        <f>HYPERLINK("https://www.hi.u-tokyo.ac.jp/collection/degitalgallary/ryukyu/item/30142", "https://www.hi.u-tokyo.ac.jp/collection/degitalgallary/ryukyu/item/30142")</f>
        <v/>
      </c>
    </row>
    <row r="144">
      <c r="A144" t="inlineStr">
        <is>
          <t>30143</t>
        </is>
      </c>
      <c r="B144" t="inlineStr">
        <is>
          <t>船かゝり不成</t>
        </is>
      </c>
      <c r="C144" t="inlineStr">
        <is>
          <t>港湾</t>
        </is>
      </c>
      <c r="D144" t="inlineStr"/>
      <c r="E144" t="inlineStr"/>
      <c r="F144" t="inlineStr">
        <is>
          <t>正保琉球国八山島絵図</t>
        </is>
      </c>
      <c r="G144" t="inlineStr"/>
      <c r="H144" t="inlineStr"/>
      <c r="I144" t="inlineStr">
        <is>
          <t>88</t>
        </is>
      </c>
      <c r="J144" t="inlineStr"/>
      <c r="K144" t="inlineStr"/>
      <c r="L144" s="1">
        <f>HYPERLINK("https://www.hi.u-tokyo.ac.jp/collection/degitalgallary/ryukyu/item/30143", "https://www.hi.u-tokyo.ac.jp/collection/degitalgallary/ryukyu/item/30143")</f>
        <v/>
      </c>
    </row>
    <row r="145">
      <c r="A145" t="inlineStr">
        <is>
          <t>30144</t>
        </is>
      </c>
      <c r="B145" t="inlineStr">
        <is>
          <t>はさま崎</t>
        </is>
      </c>
      <c r="C145" t="inlineStr">
        <is>
          <t>崎</t>
        </is>
      </c>
      <c r="D145" t="inlineStr">
        <is>
          <t>24.3251004</t>
        </is>
      </c>
      <c r="E145" t="inlineStr">
        <is>
          <t>124.0758351</t>
        </is>
      </c>
      <c r="F145" t="inlineStr">
        <is>
          <t>正保琉球国八山島絵図</t>
        </is>
      </c>
      <c r="G145" t="inlineStr"/>
      <c r="H145" t="inlineStr"/>
      <c r="I145" t="inlineStr">
        <is>
          <t>89</t>
        </is>
      </c>
      <c r="J145" t="inlineStr"/>
      <c r="K145" t="inlineStr">
        <is>
          <t>沖縄県八重山郡竹富町竹富</t>
        </is>
      </c>
      <c r="L145" s="1">
        <f>HYPERLINK("https://www.hi.u-tokyo.ac.jp/collection/degitalgallary/ryukyu/item/30144", "https://www.hi.u-tokyo.ac.jp/collection/degitalgallary/ryukyu/item/30144")</f>
        <v/>
      </c>
    </row>
    <row r="146">
      <c r="A146" t="inlineStr">
        <is>
          <t>30145</t>
        </is>
      </c>
      <c r="B146" t="inlineStr">
        <is>
          <t>そとふ崎</t>
        </is>
      </c>
      <c r="C146" t="inlineStr">
        <is>
          <t>崎</t>
        </is>
      </c>
      <c r="D146" t="inlineStr">
        <is>
          <t>24.3123332</t>
        </is>
      </c>
      <c r="E146" t="inlineStr">
        <is>
          <t>124.0822531</t>
        </is>
      </c>
      <c r="F146" t="inlineStr">
        <is>
          <t>正保琉球国八山島絵図</t>
        </is>
      </c>
      <c r="G146" t="inlineStr"/>
      <c r="H146" t="inlineStr"/>
      <c r="I146" t="inlineStr">
        <is>
          <t>90</t>
        </is>
      </c>
      <c r="J146" t="inlineStr"/>
      <c r="K146" t="inlineStr">
        <is>
          <t>沖縄県八重山郡竹富町竹富</t>
        </is>
      </c>
      <c r="L146" s="1">
        <f>HYPERLINK("https://www.hi.u-tokyo.ac.jp/collection/degitalgallary/ryukyu/item/30145", "https://www.hi.u-tokyo.ac.jp/collection/degitalgallary/ryukyu/item/30145")</f>
        <v/>
      </c>
    </row>
    <row r="147">
      <c r="A147" t="inlineStr">
        <is>
          <t>30146</t>
        </is>
      </c>
      <c r="B147" t="inlineStr">
        <is>
          <t>あかりい浜崎</t>
        </is>
      </c>
      <c r="C147" t="inlineStr">
        <is>
          <t>崎</t>
        </is>
      </c>
      <c r="D147" t="inlineStr">
        <is>
          <t>24.3208252</t>
        </is>
      </c>
      <c r="E147" t="inlineStr">
        <is>
          <t>124.1020512</t>
        </is>
      </c>
      <c r="F147" t="inlineStr">
        <is>
          <t>正保琉球国八山島絵図</t>
        </is>
      </c>
      <c r="G147" t="inlineStr"/>
      <c r="H147" t="inlineStr"/>
      <c r="I147" t="inlineStr">
        <is>
          <t>91</t>
        </is>
      </c>
      <c r="J147" t="inlineStr"/>
      <c r="K147" t="inlineStr">
        <is>
          <t>沖縄県八重山郡竹富町竹富</t>
        </is>
      </c>
      <c r="L147" s="1">
        <f>HYPERLINK("https://www.hi.u-tokyo.ac.jp/collection/degitalgallary/ryukyu/item/30146", "https://www.hi.u-tokyo.ac.jp/collection/degitalgallary/ryukyu/item/30146")</f>
        <v/>
      </c>
    </row>
    <row r="148">
      <c r="A148" t="inlineStr">
        <is>
          <t>30147</t>
        </is>
      </c>
      <c r="B148" t="inlineStr">
        <is>
          <t>古絵図ニ者、○たけとみ嶋石墻嶋之内与有之候、高辻帳ニ、八重山嶋之内与有之候、</t>
        </is>
      </c>
      <c r="C148" t="inlineStr">
        <is>
          <t>付箋</t>
        </is>
      </c>
      <c r="D148" t="inlineStr"/>
      <c r="E148" t="inlineStr"/>
      <c r="F148" t="inlineStr">
        <is>
          <t>正保琉球国八山島絵図</t>
        </is>
      </c>
      <c r="G148" t="inlineStr"/>
      <c r="H148" t="inlineStr"/>
      <c r="I148" t="inlineStr">
        <is>
          <t>92</t>
        </is>
      </c>
      <c r="J148" t="inlineStr"/>
      <c r="K148" t="inlineStr"/>
      <c r="L148" s="1">
        <f>HYPERLINK("https://www.hi.u-tokyo.ac.jp/collection/degitalgallary/ryukyu/item/30147", "https://www.hi.u-tokyo.ac.jp/collection/degitalgallary/ryukyu/item/30147")</f>
        <v/>
      </c>
    </row>
    <row r="149">
      <c r="A149" t="inlineStr">
        <is>
          <t>30148</t>
        </is>
      </c>
      <c r="B149" t="inlineStr">
        <is>
          <t>たけとみ嶋より黒嶋迄、海上二里二十町</t>
        </is>
      </c>
      <c r="C149" t="inlineStr">
        <is>
          <t>航路</t>
        </is>
      </c>
      <c r="D149" t="inlineStr"/>
      <c r="E149" t="inlineStr"/>
      <c r="F149" t="inlineStr">
        <is>
          <t>正保琉球国八山島絵図</t>
        </is>
      </c>
      <c r="G149" t="inlineStr"/>
      <c r="H149" t="inlineStr"/>
      <c r="I149" t="inlineStr">
        <is>
          <t>93</t>
        </is>
      </c>
      <c r="J149" t="inlineStr"/>
      <c r="K149" t="inlineStr"/>
      <c r="L149" s="1">
        <f>HYPERLINK("https://www.hi.u-tokyo.ac.jp/collection/degitalgallary/ryukyu/item/30148", "https://www.hi.u-tokyo.ac.jp/collection/degitalgallary/ryukyu/item/30148")</f>
        <v/>
      </c>
    </row>
    <row r="150">
      <c r="A150" t="inlineStr">
        <is>
          <t>30149</t>
        </is>
      </c>
      <c r="B150" t="inlineStr">
        <is>
          <t>たけとみ嶋より小浜嶋迄、海上二里</t>
        </is>
      </c>
      <c r="C150" t="inlineStr">
        <is>
          <t>航路</t>
        </is>
      </c>
      <c r="D150" t="inlineStr"/>
      <c r="E150" t="inlineStr"/>
      <c r="F150" t="inlineStr">
        <is>
          <t>正保琉球国八山島絵図</t>
        </is>
      </c>
      <c r="G150" t="inlineStr"/>
      <c r="H150" t="inlineStr"/>
      <c r="I150" t="inlineStr">
        <is>
          <t>94</t>
        </is>
      </c>
      <c r="J150" t="inlineStr"/>
      <c r="K150" t="inlineStr"/>
      <c r="L150" s="1">
        <f>HYPERLINK("https://www.hi.u-tokyo.ac.jp/collection/degitalgallary/ryukyu/item/30149", "https://www.hi.u-tokyo.ac.jp/collection/degitalgallary/ryukyu/item/30149")</f>
        <v/>
      </c>
    </row>
    <row r="151">
      <c r="A151" t="inlineStr">
        <is>
          <t>30150</t>
        </is>
      </c>
      <c r="B151" t="inlineStr">
        <is>
          <t>石墻嶋御崎泊より入表嶋之内そなひ村迄、海上十一里酉ノ方ニ当ル</t>
        </is>
      </c>
      <c r="C151" t="inlineStr">
        <is>
          <t>航路</t>
        </is>
      </c>
      <c r="D151" t="inlineStr"/>
      <c r="E151" t="inlineStr"/>
      <c r="F151" t="inlineStr">
        <is>
          <t>正保琉球国八山島絵図</t>
        </is>
      </c>
      <c r="G151" t="inlineStr"/>
      <c r="H151" t="inlineStr"/>
      <c r="I151" t="inlineStr">
        <is>
          <t>95</t>
        </is>
      </c>
      <c r="J151" t="inlineStr"/>
      <c r="K151" t="inlineStr"/>
      <c r="L151" s="1">
        <f>HYPERLINK("https://www.hi.u-tokyo.ac.jp/collection/degitalgallary/ryukyu/item/30150", "https://www.hi.u-tokyo.ac.jp/collection/degitalgallary/ryukyu/item/30150")</f>
        <v/>
      </c>
    </row>
    <row r="152">
      <c r="A152" t="inlineStr">
        <is>
          <t>30151</t>
        </is>
      </c>
      <c r="B152" t="inlineStr">
        <is>
          <t>かやま嶋</t>
        </is>
      </c>
      <c r="C152" t="inlineStr">
        <is>
          <t>島</t>
        </is>
      </c>
      <c r="D152" t="inlineStr">
        <is>
          <t>24.3633395</t>
        </is>
      </c>
      <c r="E152" t="inlineStr">
        <is>
          <t>123.9993847</t>
        </is>
      </c>
      <c r="F152" t="inlineStr">
        <is>
          <t>正保琉球国八山島絵図</t>
        </is>
      </c>
      <c r="G152" t="inlineStr">
        <is>
          <t>人居無</t>
        </is>
      </c>
      <c r="H152" t="inlineStr"/>
      <c r="I152" t="inlineStr">
        <is>
          <t>96</t>
        </is>
      </c>
      <c r="J152" t="inlineStr"/>
      <c r="K152" t="inlineStr">
        <is>
          <t>沖縄県八重山郡竹富町小浜</t>
        </is>
      </c>
      <c r="L152" s="1">
        <f>HYPERLINK("https://www.hi.u-tokyo.ac.jp/collection/degitalgallary/ryukyu/item/30151", "https://www.hi.u-tokyo.ac.jp/collection/degitalgallary/ryukyu/item/30151")</f>
        <v/>
      </c>
    </row>
    <row r="153">
      <c r="A153" t="inlineStr">
        <is>
          <t>30152</t>
        </is>
      </c>
      <c r="B153" t="inlineStr">
        <is>
          <t>小浜嶋</t>
        </is>
      </c>
      <c r="C153" t="inlineStr">
        <is>
          <t>島</t>
        </is>
      </c>
      <c r="D153" t="inlineStr">
        <is>
          <t>24.3466078</t>
        </is>
      </c>
      <c r="E153" t="inlineStr">
        <is>
          <t>123.9805756</t>
        </is>
      </c>
      <c r="F153" t="inlineStr">
        <is>
          <t>正保琉球国八山島絵図</t>
        </is>
      </c>
      <c r="G153" t="inlineStr">
        <is>
          <t>こみ間切之内
嶋廻り三里</t>
        </is>
      </c>
      <c r="H153" t="inlineStr"/>
      <c r="I153" t="inlineStr">
        <is>
          <t>97</t>
        </is>
      </c>
      <c r="J153" t="inlineStr"/>
      <c r="K153" t="inlineStr">
        <is>
          <t>沖縄県八重山郡竹富町小浜</t>
        </is>
      </c>
      <c r="L153" s="1">
        <f>HYPERLINK("https://www.hi.u-tokyo.ac.jp/collection/degitalgallary/ryukyu/item/30152", "https://www.hi.u-tokyo.ac.jp/collection/degitalgallary/ryukyu/item/30152")</f>
        <v/>
      </c>
    </row>
    <row r="154">
      <c r="A154" t="inlineStr">
        <is>
          <t>30153</t>
        </is>
      </c>
      <c r="B154" t="inlineStr">
        <is>
          <t>船崎</t>
        </is>
      </c>
      <c r="C154" t="inlineStr">
        <is>
          <t>崎</t>
        </is>
      </c>
      <c r="D154" t="inlineStr">
        <is>
          <t>24.3462465</t>
        </is>
      </c>
      <c r="E154" t="inlineStr">
        <is>
          <t>123.9924975</t>
        </is>
      </c>
      <c r="F154" t="inlineStr">
        <is>
          <t>正保琉球国八山島絵図</t>
        </is>
      </c>
      <c r="G154" t="inlineStr"/>
      <c r="H154" t="inlineStr"/>
      <c r="I154" t="inlineStr">
        <is>
          <t>98</t>
        </is>
      </c>
      <c r="J154" t="inlineStr"/>
      <c r="K154" t="inlineStr">
        <is>
          <t>沖縄県八重山郡竹富町小浜</t>
        </is>
      </c>
      <c r="L154" s="1">
        <f>HYPERLINK("https://www.hi.u-tokyo.ac.jp/collection/degitalgallary/ryukyu/item/30153", "https://www.hi.u-tokyo.ac.jp/collection/degitalgallary/ryukyu/item/30153")</f>
        <v/>
      </c>
    </row>
    <row r="155">
      <c r="A155" t="inlineStr">
        <is>
          <t>30154</t>
        </is>
      </c>
      <c r="B155" t="inlineStr">
        <is>
          <t>屋崎</t>
        </is>
      </c>
      <c r="C155" t="inlineStr">
        <is>
          <t>崎</t>
        </is>
      </c>
      <c r="D155" t="inlineStr">
        <is>
          <t>24.3496848</t>
        </is>
      </c>
      <c r="E155" t="inlineStr">
        <is>
          <t>123.9636098</t>
        </is>
      </c>
      <c r="F155" t="inlineStr">
        <is>
          <t>正保琉球国八山島絵図</t>
        </is>
      </c>
      <c r="G155" t="inlineStr"/>
      <c r="H155" t="inlineStr"/>
      <c r="I155" t="inlineStr">
        <is>
          <t>99</t>
        </is>
      </c>
      <c r="J155" t="inlineStr"/>
      <c r="K155" t="inlineStr">
        <is>
          <t>沖縄県八重山郡竹富町小浜</t>
        </is>
      </c>
      <c r="L155" s="1">
        <f>HYPERLINK("https://www.hi.u-tokyo.ac.jp/collection/degitalgallary/ryukyu/item/30154", "https://www.hi.u-tokyo.ac.jp/collection/degitalgallary/ryukyu/item/30154")</f>
        <v/>
      </c>
    </row>
    <row r="156">
      <c r="A156" t="inlineStr">
        <is>
          <t>30155</t>
        </is>
      </c>
      <c r="B156" t="inlineStr">
        <is>
          <t>ゆね崎</t>
        </is>
      </c>
      <c r="C156" t="inlineStr">
        <is>
          <t>崎</t>
        </is>
      </c>
      <c r="D156" t="inlineStr">
        <is>
          <t>24.3348259</t>
        </is>
      </c>
      <c r="E156" t="inlineStr">
        <is>
          <t>123.952459</t>
        </is>
      </c>
      <c r="F156" t="inlineStr">
        <is>
          <t>正保琉球国八山島絵図</t>
        </is>
      </c>
      <c r="G156" t="inlineStr"/>
      <c r="H156" t="inlineStr"/>
      <c r="I156" t="inlineStr">
        <is>
          <t>100</t>
        </is>
      </c>
      <c r="J156" t="inlineStr"/>
      <c r="K156" t="inlineStr">
        <is>
          <t>沖縄県八重山郡竹富町小浜</t>
        </is>
      </c>
      <c r="L156" s="1">
        <f>HYPERLINK("https://www.hi.u-tokyo.ac.jp/collection/degitalgallary/ryukyu/item/30155", "https://www.hi.u-tokyo.ac.jp/collection/degitalgallary/ryukyu/item/30155")</f>
        <v/>
      </c>
    </row>
    <row r="157">
      <c r="A157" t="inlineStr">
        <is>
          <t>30156</t>
        </is>
      </c>
      <c r="B157" t="inlineStr">
        <is>
          <t>なへ崎</t>
        </is>
      </c>
      <c r="C157" t="inlineStr">
        <is>
          <t>崎</t>
        </is>
      </c>
      <c r="D157" t="inlineStr">
        <is>
          <t>24.3238384</t>
        </is>
      </c>
      <c r="E157" t="inlineStr">
        <is>
          <t>123.9917797</t>
        </is>
      </c>
      <c r="F157" t="inlineStr">
        <is>
          <t>正保琉球国八山島絵図</t>
        </is>
      </c>
      <c r="G157" t="inlineStr"/>
      <c r="H157" t="inlineStr"/>
      <c r="I157" t="inlineStr">
        <is>
          <t>101</t>
        </is>
      </c>
      <c r="J157" t="inlineStr"/>
      <c r="K157" t="inlineStr">
        <is>
          <t>沖縄県八重山郡竹富町小浜</t>
        </is>
      </c>
      <c r="L157" s="1">
        <f>HYPERLINK("https://www.hi.u-tokyo.ac.jp/collection/degitalgallary/ryukyu/item/30156", "https://www.hi.u-tokyo.ac.jp/collection/degitalgallary/ryukyu/item/30156")</f>
        <v/>
      </c>
    </row>
    <row r="158">
      <c r="A158" t="inlineStr">
        <is>
          <t>30157</t>
        </is>
      </c>
      <c r="B158" t="inlineStr">
        <is>
          <t>きさす崎</t>
        </is>
      </c>
      <c r="C158" t="inlineStr">
        <is>
          <t>崎</t>
        </is>
      </c>
      <c r="D158" t="inlineStr">
        <is>
          <t>24.327791</t>
        </is>
      </c>
      <c r="E158" t="inlineStr">
        <is>
          <t>124.0030616</t>
        </is>
      </c>
      <c r="F158" t="inlineStr">
        <is>
          <t>正保琉球国八山島絵図</t>
        </is>
      </c>
      <c r="G158" t="inlineStr"/>
      <c r="H158" t="inlineStr"/>
      <c r="I158" t="inlineStr">
        <is>
          <t>102</t>
        </is>
      </c>
      <c r="J158" t="inlineStr"/>
      <c r="K158" t="inlineStr">
        <is>
          <t>沖縄県八重山郡竹富町小浜</t>
        </is>
      </c>
      <c r="L158" s="1">
        <f>HYPERLINK("https://www.hi.u-tokyo.ac.jp/collection/degitalgallary/ryukyu/item/30157", "https://www.hi.u-tokyo.ac.jp/collection/degitalgallary/ryukyu/item/30157")</f>
        <v/>
      </c>
    </row>
    <row r="159">
      <c r="A159" t="inlineStr">
        <is>
          <t>30158</t>
        </is>
      </c>
      <c r="B159" t="inlineStr">
        <is>
          <t>船かゝり不成</t>
        </is>
      </c>
      <c r="C159" t="inlineStr">
        <is>
          <t>港湾</t>
        </is>
      </c>
      <c r="D159" t="inlineStr"/>
      <c r="E159" t="inlineStr"/>
      <c r="F159" t="inlineStr">
        <is>
          <t>正保琉球国八山島絵図</t>
        </is>
      </c>
      <c r="G159" t="inlineStr"/>
      <c r="H159" t="inlineStr"/>
      <c r="I159" t="inlineStr">
        <is>
          <t>103</t>
        </is>
      </c>
      <c r="J159" t="inlineStr"/>
      <c r="K159" t="inlineStr"/>
      <c r="L159" s="1">
        <f>HYPERLINK("https://www.hi.u-tokyo.ac.jp/collection/degitalgallary/ryukyu/item/30158", "https://www.hi.u-tokyo.ac.jp/collection/degitalgallary/ryukyu/item/30158")</f>
        <v/>
      </c>
    </row>
    <row r="160">
      <c r="A160" t="inlineStr">
        <is>
          <t>30159</t>
        </is>
      </c>
      <c r="B160" t="inlineStr">
        <is>
          <t>小浜嶋より入表嶋之内こみ間切迄、海上三里</t>
        </is>
      </c>
      <c r="C160" t="inlineStr">
        <is>
          <t>航路</t>
        </is>
      </c>
      <c r="D160" t="inlineStr"/>
      <c r="E160" t="inlineStr"/>
      <c r="F160" t="inlineStr">
        <is>
          <t>正保琉球国八山島絵図</t>
        </is>
      </c>
      <c r="G160" t="inlineStr"/>
      <c r="H160" t="inlineStr"/>
      <c r="I160" t="inlineStr">
        <is>
          <t>104</t>
        </is>
      </c>
      <c r="J160" t="inlineStr"/>
      <c r="K160" t="inlineStr"/>
      <c r="L160" s="1">
        <f>HYPERLINK("https://www.hi.u-tokyo.ac.jp/collection/degitalgallary/ryukyu/item/30159", "https://www.hi.u-tokyo.ac.jp/collection/degitalgallary/ryukyu/item/30159")</f>
        <v/>
      </c>
    </row>
    <row r="161">
      <c r="A161" t="inlineStr">
        <is>
          <t>30160</t>
        </is>
      </c>
      <c r="B161" t="inlineStr">
        <is>
          <t>小浜嶋より黒嶋迄、海上二里十八町</t>
        </is>
      </c>
      <c r="C161" t="inlineStr">
        <is>
          <t>航路</t>
        </is>
      </c>
      <c r="D161" t="inlineStr"/>
      <c r="E161" t="inlineStr"/>
      <c r="F161" t="inlineStr">
        <is>
          <t>正保琉球国八山島絵図</t>
        </is>
      </c>
      <c r="G161" t="inlineStr"/>
      <c r="H161" t="inlineStr"/>
      <c r="I161" t="inlineStr">
        <is>
          <t>105</t>
        </is>
      </c>
      <c r="J161" t="inlineStr"/>
      <c r="K161" t="inlineStr"/>
      <c r="L161" s="1">
        <f>HYPERLINK("https://www.hi.u-tokyo.ac.jp/collection/degitalgallary/ryukyu/item/30160", "https://www.hi.u-tokyo.ac.jp/collection/degitalgallary/ryukyu/item/30160")</f>
        <v/>
      </c>
    </row>
    <row r="162">
      <c r="A162" t="inlineStr">
        <is>
          <t>30161</t>
        </is>
      </c>
      <c r="B162" t="inlineStr">
        <is>
          <t>黒嶋</t>
        </is>
      </c>
      <c r="C162" t="inlineStr">
        <is>
          <t>島</t>
        </is>
      </c>
      <c r="D162" t="inlineStr">
        <is>
          <t>24.2339257</t>
        </is>
      </c>
      <c r="E162" t="inlineStr">
        <is>
          <t>124.0140113</t>
        </is>
      </c>
      <c r="F162" t="inlineStr">
        <is>
          <t>正保琉球国八山島絵図</t>
        </is>
      </c>
      <c r="G162" t="inlineStr">
        <is>
          <t>八重山嶋之内
嶋廻り二里廿町</t>
        </is>
      </c>
      <c r="H162" t="inlineStr"/>
      <c r="I162" t="inlineStr">
        <is>
          <t>106</t>
        </is>
      </c>
      <c r="J162" t="inlineStr"/>
      <c r="K162" t="inlineStr">
        <is>
          <t>沖縄県八重山郡竹富町黒島</t>
        </is>
      </c>
      <c r="L162" s="1">
        <f>HYPERLINK("https://www.hi.u-tokyo.ac.jp/collection/degitalgallary/ryukyu/item/30161", "https://www.hi.u-tokyo.ac.jp/collection/degitalgallary/ryukyu/item/30161")</f>
        <v/>
      </c>
    </row>
    <row r="163">
      <c r="A163" t="inlineStr">
        <is>
          <t>30162</t>
        </is>
      </c>
      <c r="B163" t="inlineStr">
        <is>
          <t>なふの崎</t>
        </is>
      </c>
      <c r="C163" t="inlineStr">
        <is>
          <t>崎</t>
        </is>
      </c>
      <c r="D163" t="inlineStr"/>
      <c r="E163" t="inlineStr"/>
      <c r="F163" t="inlineStr">
        <is>
          <t>正保琉球国八山島絵図</t>
        </is>
      </c>
      <c r="G163" t="inlineStr"/>
      <c r="H163" t="inlineStr"/>
      <c r="I163" t="inlineStr">
        <is>
          <t>107</t>
        </is>
      </c>
      <c r="J163" t="inlineStr"/>
      <c r="K163" t="inlineStr"/>
      <c r="L163" s="1">
        <f>HYPERLINK("https://www.hi.u-tokyo.ac.jp/collection/degitalgallary/ryukyu/item/30162", "https://www.hi.u-tokyo.ac.jp/collection/degitalgallary/ryukyu/item/30162")</f>
        <v/>
      </c>
    </row>
    <row r="164">
      <c r="A164" t="inlineStr">
        <is>
          <t>30163</t>
        </is>
      </c>
      <c r="B164" t="inlineStr">
        <is>
          <t>きやん崎</t>
        </is>
      </c>
      <c r="C164" t="inlineStr">
        <is>
          <t>崎</t>
        </is>
      </c>
      <c r="D164" t="inlineStr">
        <is>
          <t>24.230218</t>
        </is>
      </c>
      <c r="E164" t="inlineStr">
        <is>
          <t>124.026031</t>
        </is>
      </c>
      <c r="F164" t="inlineStr">
        <is>
          <t>正保琉球国八山島絵図</t>
        </is>
      </c>
      <c r="G164" t="inlineStr"/>
      <c r="H164" t="inlineStr"/>
      <c r="I164" t="inlineStr">
        <is>
          <t>108</t>
        </is>
      </c>
      <c r="J164" t="inlineStr"/>
      <c r="K164" t="inlineStr">
        <is>
          <t>沖縄県八重山郡竹富町黒島</t>
        </is>
      </c>
      <c r="L164" s="1">
        <f>HYPERLINK("https://www.hi.u-tokyo.ac.jp/collection/degitalgallary/ryukyu/item/30163", "https://www.hi.u-tokyo.ac.jp/collection/degitalgallary/ryukyu/item/30163")</f>
        <v/>
      </c>
    </row>
    <row r="165">
      <c r="A165" t="inlineStr">
        <is>
          <t>30164</t>
        </is>
      </c>
      <c r="B165" t="inlineStr">
        <is>
          <t>小泊崎</t>
        </is>
      </c>
      <c r="C165" t="inlineStr">
        <is>
          <t>崎</t>
        </is>
      </c>
      <c r="D165" t="inlineStr"/>
      <c r="E165" t="inlineStr"/>
      <c r="F165" t="inlineStr">
        <is>
          <t>正保琉球国八山島絵図</t>
        </is>
      </c>
      <c r="G165" t="inlineStr"/>
      <c r="H165" t="inlineStr"/>
      <c r="I165" t="inlineStr">
        <is>
          <t>109</t>
        </is>
      </c>
      <c r="J165" t="inlineStr"/>
      <c r="K165" t="inlineStr"/>
      <c r="L165" s="1">
        <f>HYPERLINK("https://www.hi.u-tokyo.ac.jp/collection/degitalgallary/ryukyu/item/30164", "https://www.hi.u-tokyo.ac.jp/collection/degitalgallary/ryukyu/item/30164")</f>
        <v/>
      </c>
    </row>
    <row r="166">
      <c r="A166" t="inlineStr">
        <is>
          <t>30165</t>
        </is>
      </c>
      <c r="B166" t="inlineStr">
        <is>
          <t>なはれ崎</t>
        </is>
      </c>
      <c r="C166" t="inlineStr">
        <is>
          <t>崎</t>
        </is>
      </c>
      <c r="D166" t="inlineStr"/>
      <c r="E166" t="inlineStr"/>
      <c r="F166" t="inlineStr">
        <is>
          <t>正保琉球国八山島絵図</t>
        </is>
      </c>
      <c r="G166" t="inlineStr"/>
      <c r="H166" t="inlineStr"/>
      <c r="I166" t="inlineStr">
        <is>
          <t>110</t>
        </is>
      </c>
      <c r="J166" t="inlineStr"/>
      <c r="K166" t="inlineStr"/>
      <c r="L166" s="1">
        <f>HYPERLINK("https://www.hi.u-tokyo.ac.jp/collection/degitalgallary/ryukyu/item/30165", "https://www.hi.u-tokyo.ac.jp/collection/degitalgallary/ryukyu/item/30165")</f>
        <v/>
      </c>
    </row>
    <row r="167">
      <c r="A167" t="inlineStr">
        <is>
          <t>30166</t>
        </is>
      </c>
      <c r="B167" t="inlineStr">
        <is>
          <t>ゆはな崎</t>
        </is>
      </c>
      <c r="C167" t="inlineStr">
        <is>
          <t>崎</t>
        </is>
      </c>
      <c r="D167" t="inlineStr">
        <is>
          <t>24.254138</t>
        </is>
      </c>
      <c r="E167" t="inlineStr">
        <is>
          <t>124.0001307</t>
        </is>
      </c>
      <c r="F167" t="inlineStr">
        <is>
          <t>正保琉球国八山島絵図</t>
        </is>
      </c>
      <c r="G167" t="inlineStr"/>
      <c r="H167" t="inlineStr"/>
      <c r="I167" t="inlineStr">
        <is>
          <t>111</t>
        </is>
      </c>
      <c r="J167" t="inlineStr"/>
      <c r="K167" t="inlineStr">
        <is>
          <t>沖縄県八重山郡竹富町黒島</t>
        </is>
      </c>
      <c r="L167" s="1">
        <f>HYPERLINK("https://www.hi.u-tokyo.ac.jp/collection/degitalgallary/ryukyu/item/30166", "https://www.hi.u-tokyo.ac.jp/collection/degitalgallary/ryukyu/item/30166")</f>
        <v/>
      </c>
    </row>
    <row r="168">
      <c r="A168" t="inlineStr">
        <is>
          <t>30167</t>
        </is>
      </c>
      <c r="B168" t="inlineStr">
        <is>
          <t>船かゝり不成</t>
        </is>
      </c>
      <c r="C168" t="inlineStr">
        <is>
          <t>港湾</t>
        </is>
      </c>
      <c r="D168" t="inlineStr"/>
      <c r="E168" t="inlineStr"/>
      <c r="F168" t="inlineStr">
        <is>
          <t>正保琉球国八山島絵図</t>
        </is>
      </c>
      <c r="G168" t="inlineStr"/>
      <c r="H168" t="inlineStr"/>
      <c r="I168" t="inlineStr">
        <is>
          <t>112</t>
        </is>
      </c>
      <c r="J168" t="inlineStr"/>
      <c r="K168" t="inlineStr"/>
      <c r="L168" s="1">
        <f>HYPERLINK("https://www.hi.u-tokyo.ac.jp/collection/degitalgallary/ryukyu/item/30167", "https://www.hi.u-tokyo.ac.jp/collection/degitalgallary/ryukyu/item/30167")</f>
        <v/>
      </c>
    </row>
    <row r="169">
      <c r="A169" t="inlineStr">
        <is>
          <t>30168</t>
        </is>
      </c>
      <c r="B169" t="inlineStr">
        <is>
          <t>黒嶋よりこみ間切迄、海上二里十町</t>
        </is>
      </c>
      <c r="C169" t="inlineStr">
        <is>
          <t>航路</t>
        </is>
      </c>
      <c r="D169" t="inlineStr"/>
      <c r="E169" t="inlineStr"/>
      <c r="F169" t="inlineStr">
        <is>
          <t>正保琉球国八山島絵図</t>
        </is>
      </c>
      <c r="G169" t="inlineStr"/>
      <c r="H169" t="inlineStr"/>
      <c r="I169" t="inlineStr">
        <is>
          <t>113</t>
        </is>
      </c>
      <c r="J169" t="inlineStr"/>
      <c r="K169" t="inlineStr"/>
      <c r="L169" s="1">
        <f>HYPERLINK("https://www.hi.u-tokyo.ac.jp/collection/degitalgallary/ryukyu/item/30168", "https://www.hi.u-tokyo.ac.jp/collection/degitalgallary/ryukyu/item/30168")</f>
        <v/>
      </c>
    </row>
    <row r="170">
      <c r="A170" t="inlineStr">
        <is>
          <t>30169</t>
        </is>
      </c>
      <c r="B170" t="inlineStr">
        <is>
          <t>黒嶋より上離嶋迄、海上一里十町</t>
        </is>
      </c>
      <c r="C170" t="inlineStr">
        <is>
          <t>航路</t>
        </is>
      </c>
      <c r="D170" t="inlineStr"/>
      <c r="E170" t="inlineStr"/>
      <c r="F170" t="inlineStr">
        <is>
          <t>正保琉球国八山島絵図</t>
        </is>
      </c>
      <c r="G170" t="inlineStr"/>
      <c r="H170" t="inlineStr"/>
      <c r="I170" t="inlineStr">
        <is>
          <t>114</t>
        </is>
      </c>
      <c r="J170" t="inlineStr"/>
      <c r="K170" t="inlineStr"/>
      <c r="L170" s="1">
        <f>HYPERLINK("https://www.hi.u-tokyo.ac.jp/collection/degitalgallary/ryukyu/item/30169", "https://www.hi.u-tokyo.ac.jp/collection/degitalgallary/ryukyu/item/30169")</f>
        <v/>
      </c>
    </row>
    <row r="171">
      <c r="A171" t="inlineStr">
        <is>
          <t>30170</t>
        </is>
      </c>
      <c r="B171" t="inlineStr">
        <is>
          <t>上離嶋</t>
        </is>
      </c>
      <c r="C171" t="inlineStr">
        <is>
          <t>島</t>
        </is>
      </c>
      <c r="D171" t="inlineStr">
        <is>
          <t>24.2346556</t>
        </is>
      </c>
      <c r="E171" t="inlineStr">
        <is>
          <t>123.9449454</t>
        </is>
      </c>
      <c r="F171" t="inlineStr">
        <is>
          <t>正保琉球国八山島絵図</t>
        </is>
      </c>
      <c r="G171" t="inlineStr">
        <is>
          <t>黒嶋之内
人居有
嶋廻一里十町</t>
        </is>
      </c>
      <c r="H171" t="inlineStr"/>
      <c r="I171" t="inlineStr">
        <is>
          <t>115</t>
        </is>
      </c>
      <c r="J171" t="inlineStr"/>
      <c r="K171" t="inlineStr">
        <is>
          <t>沖縄県八重山郡竹富町新城</t>
        </is>
      </c>
      <c r="L171" s="1">
        <f>HYPERLINK("https://www.hi.u-tokyo.ac.jp/collection/degitalgallary/ryukyu/item/30170", "https://www.hi.u-tokyo.ac.jp/collection/degitalgallary/ryukyu/item/30170")</f>
        <v/>
      </c>
    </row>
    <row r="172">
      <c r="A172" t="inlineStr">
        <is>
          <t>30171</t>
        </is>
      </c>
      <c r="B172" t="inlineStr">
        <is>
          <t>はへたけ崎</t>
        </is>
      </c>
      <c r="C172" t="inlineStr">
        <is>
          <t>崎</t>
        </is>
      </c>
      <c r="D172" t="inlineStr"/>
      <c r="E172" t="inlineStr"/>
      <c r="F172" t="inlineStr">
        <is>
          <t>正保琉球国八山島絵図</t>
        </is>
      </c>
      <c r="G172" t="inlineStr"/>
      <c r="H172" t="inlineStr"/>
      <c r="I172" t="inlineStr">
        <is>
          <t>116</t>
        </is>
      </c>
      <c r="J172" t="inlineStr"/>
      <c r="K172" t="inlineStr"/>
      <c r="L172" s="1">
        <f>HYPERLINK("https://www.hi.u-tokyo.ac.jp/collection/degitalgallary/ryukyu/item/30171", "https://www.hi.u-tokyo.ac.jp/collection/degitalgallary/ryukyu/item/30171")</f>
        <v/>
      </c>
    </row>
    <row r="173">
      <c r="A173" t="inlineStr">
        <is>
          <t>30172</t>
        </is>
      </c>
      <c r="B173" t="inlineStr">
        <is>
          <t>わたり瀬崎</t>
        </is>
      </c>
      <c r="C173" t="inlineStr">
        <is>
          <t>崎</t>
        </is>
      </c>
      <c r="D173" t="inlineStr"/>
      <c r="E173" t="inlineStr"/>
      <c r="F173" t="inlineStr">
        <is>
          <t>正保琉球国八山島絵図</t>
        </is>
      </c>
      <c r="G173" t="inlineStr"/>
      <c r="H173" t="inlineStr"/>
      <c r="I173" t="inlineStr">
        <is>
          <t>117</t>
        </is>
      </c>
      <c r="J173" t="inlineStr"/>
      <c r="K173" t="inlineStr"/>
      <c r="L173" s="1">
        <f>HYPERLINK("https://www.hi.u-tokyo.ac.jp/collection/degitalgallary/ryukyu/item/30172", "https://www.hi.u-tokyo.ac.jp/collection/degitalgallary/ryukyu/item/30172")</f>
        <v/>
      </c>
    </row>
    <row r="174">
      <c r="A174" t="inlineStr">
        <is>
          <t>30173</t>
        </is>
      </c>
      <c r="B174" t="inlineStr">
        <is>
          <t>船かゝり不成</t>
        </is>
      </c>
      <c r="C174" t="inlineStr">
        <is>
          <t>港湾</t>
        </is>
      </c>
      <c r="D174" t="inlineStr"/>
      <c r="E174" t="inlineStr"/>
      <c r="F174" t="inlineStr">
        <is>
          <t>正保琉球国八山島絵図</t>
        </is>
      </c>
      <c r="G174" t="inlineStr"/>
      <c r="H174" t="inlineStr"/>
      <c r="I174" t="inlineStr">
        <is>
          <t>118</t>
        </is>
      </c>
      <c r="J174" t="inlineStr"/>
      <c r="K174" t="inlineStr"/>
      <c r="L174" s="1">
        <f>HYPERLINK("https://www.hi.u-tokyo.ac.jp/collection/degitalgallary/ryukyu/item/30173", "https://www.hi.u-tokyo.ac.jp/collection/degitalgallary/ryukyu/item/30173")</f>
        <v/>
      </c>
    </row>
    <row r="175">
      <c r="A175" t="inlineStr">
        <is>
          <t>30174</t>
        </is>
      </c>
      <c r="B175" t="inlineStr">
        <is>
          <t>此間海上十六町</t>
        </is>
      </c>
      <c r="C175" t="inlineStr">
        <is>
          <t>その他</t>
        </is>
      </c>
      <c r="D175" t="inlineStr"/>
      <c r="E175" t="inlineStr"/>
      <c r="F175" t="inlineStr">
        <is>
          <t>正保琉球国八山島絵図</t>
        </is>
      </c>
      <c r="G175" t="inlineStr"/>
      <c r="H175" t="inlineStr"/>
      <c r="I175" t="inlineStr">
        <is>
          <t>119</t>
        </is>
      </c>
      <c r="J175" t="inlineStr"/>
      <c r="K175" t="inlineStr"/>
      <c r="L175" s="1">
        <f>HYPERLINK("https://www.hi.u-tokyo.ac.jp/collection/degitalgallary/ryukyu/item/30174", "https://www.hi.u-tokyo.ac.jp/collection/degitalgallary/ryukyu/item/30174")</f>
        <v/>
      </c>
    </row>
    <row r="176">
      <c r="A176" t="inlineStr">
        <is>
          <t>30175</t>
        </is>
      </c>
      <c r="B176" t="inlineStr">
        <is>
          <t>下離嶋</t>
        </is>
      </c>
      <c r="C176" t="inlineStr">
        <is>
          <t>島</t>
        </is>
      </c>
      <c r="D176" t="inlineStr">
        <is>
          <t>24.2213297</t>
        </is>
      </c>
      <c r="E176" t="inlineStr">
        <is>
          <t>123.9345521</t>
        </is>
      </c>
      <c r="F176" t="inlineStr">
        <is>
          <t>正保琉球国八山島絵図</t>
        </is>
      </c>
      <c r="G176" t="inlineStr">
        <is>
          <t>黒嶋之内
嶋廻廿七町
人居有</t>
        </is>
      </c>
      <c r="H176" t="inlineStr"/>
      <c r="I176" t="inlineStr">
        <is>
          <t>120</t>
        </is>
      </c>
      <c r="J176" t="inlineStr"/>
      <c r="K176" t="inlineStr">
        <is>
          <t>沖縄県八重山郡竹富町新城</t>
        </is>
      </c>
      <c r="L176" s="1">
        <f>HYPERLINK("https://www.hi.u-tokyo.ac.jp/collection/degitalgallary/ryukyu/item/30175", "https://www.hi.u-tokyo.ac.jp/collection/degitalgallary/ryukyu/item/30175")</f>
        <v/>
      </c>
    </row>
    <row r="177">
      <c r="A177" t="inlineStr">
        <is>
          <t>30176</t>
        </is>
      </c>
      <c r="B177" t="inlineStr">
        <is>
          <t>くしく崎</t>
        </is>
      </c>
      <c r="C177" t="inlineStr">
        <is>
          <t>崎</t>
        </is>
      </c>
      <c r="D177" t="inlineStr"/>
      <c r="E177" t="inlineStr"/>
      <c r="F177" t="inlineStr">
        <is>
          <t>正保琉球国八山島絵図</t>
        </is>
      </c>
      <c r="G177" t="inlineStr"/>
      <c r="H177" t="inlineStr"/>
      <c r="I177" t="inlineStr">
        <is>
          <t>121</t>
        </is>
      </c>
      <c r="J177" t="inlineStr"/>
      <c r="K177" t="inlineStr"/>
      <c r="L177" s="1">
        <f>HYPERLINK("https://www.hi.u-tokyo.ac.jp/collection/degitalgallary/ryukyu/item/30176", "https://www.hi.u-tokyo.ac.jp/collection/degitalgallary/ryukyu/item/30176")</f>
        <v/>
      </c>
    </row>
    <row r="178">
      <c r="A178" t="inlineStr">
        <is>
          <t>30177</t>
        </is>
      </c>
      <c r="B178" t="inlineStr">
        <is>
          <t>船かゝり不成</t>
        </is>
      </c>
      <c r="C178" t="inlineStr">
        <is>
          <t>港湾</t>
        </is>
      </c>
      <c r="D178" t="inlineStr"/>
      <c r="E178" t="inlineStr"/>
      <c r="F178" t="inlineStr">
        <is>
          <t>正保琉球国八山島絵図</t>
        </is>
      </c>
      <c r="G178" t="inlineStr"/>
      <c r="H178" t="inlineStr"/>
      <c r="I178" t="inlineStr">
        <is>
          <t>122</t>
        </is>
      </c>
      <c r="J178" t="inlineStr"/>
      <c r="K178" t="inlineStr"/>
      <c r="L178" s="1">
        <f>HYPERLINK("https://www.hi.u-tokyo.ac.jp/collection/degitalgallary/ryukyu/item/30177", "https://www.hi.u-tokyo.ac.jp/collection/degitalgallary/ryukyu/item/30177")</f>
        <v/>
      </c>
    </row>
    <row r="179">
      <c r="A179" t="inlineStr">
        <is>
          <t>30178</t>
        </is>
      </c>
      <c r="B179" t="inlineStr">
        <is>
          <t>下離嶋より波照間嶋迄、海上十二里未申ノ間ニ当ル</t>
        </is>
      </c>
      <c r="C179" t="inlineStr">
        <is>
          <t>航路</t>
        </is>
      </c>
      <c r="D179" t="inlineStr"/>
      <c r="E179" t="inlineStr"/>
      <c r="F179" t="inlineStr">
        <is>
          <t>正保琉球国八山島絵図</t>
        </is>
      </c>
      <c r="G179" t="inlineStr"/>
      <c r="H179" t="inlineStr"/>
      <c r="I179" t="inlineStr">
        <is>
          <t>123</t>
        </is>
      </c>
      <c r="J179" t="inlineStr"/>
      <c r="K179" t="inlineStr"/>
      <c r="L179" s="1">
        <f>HYPERLINK("https://www.hi.u-tokyo.ac.jp/collection/degitalgallary/ryukyu/item/30178", "https://www.hi.u-tokyo.ac.jp/collection/degitalgallary/ryukyu/item/30178")</f>
        <v/>
      </c>
    </row>
    <row r="180">
      <c r="A180" t="inlineStr">
        <is>
          <t>30179</t>
        </is>
      </c>
      <c r="B180" t="inlineStr">
        <is>
          <t>波照間嶋</t>
        </is>
      </c>
      <c r="C180" t="inlineStr">
        <is>
          <t>島</t>
        </is>
      </c>
      <c r="D180" t="inlineStr">
        <is>
          <t>24.0631677</t>
        </is>
      </c>
      <c r="E180" t="inlineStr">
        <is>
          <t>123.7797054</t>
        </is>
      </c>
      <c r="F180" t="inlineStr">
        <is>
          <t>正保琉球国八山島絵図</t>
        </is>
      </c>
      <c r="G180" t="inlineStr">
        <is>
          <t>八重山嶋之内
嶋廻三里廿町</t>
        </is>
      </c>
      <c r="H180" t="inlineStr"/>
      <c r="I180" t="inlineStr">
        <is>
          <t>124</t>
        </is>
      </c>
      <c r="J180" t="inlineStr"/>
      <c r="K180" t="inlineStr">
        <is>
          <t>沖縄県八重山郡竹富町波照間</t>
        </is>
      </c>
      <c r="L180" s="1">
        <f>HYPERLINK("https://www.hi.u-tokyo.ac.jp/collection/degitalgallary/ryukyu/item/30179", "https://www.hi.u-tokyo.ac.jp/collection/degitalgallary/ryukyu/item/30179")</f>
        <v/>
      </c>
    </row>
    <row r="181">
      <c r="A181" t="inlineStr">
        <is>
          <t>30180</t>
        </is>
      </c>
      <c r="B181" t="inlineStr">
        <is>
          <t>をない崎</t>
        </is>
      </c>
      <c r="C181" t="inlineStr">
        <is>
          <t>崎</t>
        </is>
      </c>
      <c r="D181" t="inlineStr">
        <is>
          <t>24.0661077</t>
        </is>
      </c>
      <c r="E181" t="inlineStr">
        <is>
          <t>123.7660574</t>
        </is>
      </c>
      <c r="F181" t="inlineStr">
        <is>
          <t>正保琉球国八山島絵図</t>
        </is>
      </c>
      <c r="G181" t="inlineStr"/>
      <c r="H181" t="inlineStr"/>
      <c r="I181" t="inlineStr">
        <is>
          <t>125</t>
        </is>
      </c>
      <c r="J181" t="inlineStr"/>
      <c r="K181" t="inlineStr">
        <is>
          <t>沖縄県八重山郡竹富町波照間</t>
        </is>
      </c>
      <c r="L181" s="1">
        <f>HYPERLINK("https://www.hi.u-tokyo.ac.jp/collection/degitalgallary/ryukyu/item/30180", "https://www.hi.u-tokyo.ac.jp/collection/degitalgallary/ryukyu/item/30180")</f>
        <v/>
      </c>
    </row>
    <row r="182">
      <c r="A182" t="inlineStr">
        <is>
          <t>30181</t>
        </is>
      </c>
      <c r="B182" t="inlineStr">
        <is>
          <t>船かゝり不成</t>
        </is>
      </c>
      <c r="C182" t="inlineStr">
        <is>
          <t>港湾</t>
        </is>
      </c>
      <c r="D182" t="inlineStr"/>
      <c r="E182" t="inlineStr"/>
      <c r="F182" t="inlineStr">
        <is>
          <t>正保琉球国八山島絵図</t>
        </is>
      </c>
      <c r="G182" t="inlineStr"/>
      <c r="H182" t="inlineStr"/>
      <c r="I182" t="inlineStr">
        <is>
          <t>126</t>
        </is>
      </c>
      <c r="J182" t="inlineStr"/>
      <c r="K182" t="inlineStr"/>
      <c r="L182" s="1">
        <f>HYPERLINK("https://www.hi.u-tokyo.ac.jp/collection/degitalgallary/ryukyu/item/30181", "https://www.hi.u-tokyo.ac.jp/collection/degitalgallary/ryukyu/item/30181")</f>
        <v/>
      </c>
    </row>
    <row r="183">
      <c r="A183" t="inlineStr">
        <is>
          <t>30182</t>
        </is>
      </c>
      <c r="B183" t="inlineStr">
        <is>
          <t>はま崎</t>
        </is>
      </c>
      <c r="C183" t="inlineStr">
        <is>
          <t>崎</t>
        </is>
      </c>
      <c r="D183" t="inlineStr">
        <is>
          <t>24.0628582</t>
        </is>
      </c>
      <c r="E183" t="inlineStr">
        <is>
          <t>123.7547977</t>
        </is>
      </c>
      <c r="F183" t="inlineStr">
        <is>
          <t>正保琉球国八山島絵図</t>
        </is>
      </c>
      <c r="G183" t="inlineStr"/>
      <c r="H183" t="inlineStr"/>
      <c r="I183" t="inlineStr">
        <is>
          <t>127</t>
        </is>
      </c>
      <c r="J183" t="inlineStr"/>
      <c r="K183" t="inlineStr">
        <is>
          <t>沖縄県八重山郡竹富町波照間</t>
        </is>
      </c>
      <c r="L183" s="1">
        <f>HYPERLINK("https://www.hi.u-tokyo.ac.jp/collection/degitalgallary/ryukyu/item/30182", "https://www.hi.u-tokyo.ac.jp/collection/degitalgallary/ryukyu/item/30182")</f>
        <v/>
      </c>
    </row>
    <row r="184">
      <c r="A184" t="inlineStr">
        <is>
          <t>30183</t>
        </is>
      </c>
      <c r="B184" t="inlineStr">
        <is>
          <t>高瀬崎</t>
        </is>
      </c>
      <c r="C184" t="inlineStr">
        <is>
          <t>崎</t>
        </is>
      </c>
      <c r="D184" t="inlineStr">
        <is>
          <t>24.0499285</t>
        </is>
      </c>
      <c r="E184" t="inlineStr">
        <is>
          <t>123.8048891</t>
        </is>
      </c>
      <c r="F184" t="inlineStr">
        <is>
          <t>正保琉球国八山島絵図</t>
        </is>
      </c>
      <c r="G184" t="inlineStr"/>
      <c r="H184" t="inlineStr"/>
      <c r="I184" t="inlineStr">
        <is>
          <t>128</t>
        </is>
      </c>
      <c r="J184" t="inlineStr"/>
      <c r="K184" t="inlineStr">
        <is>
          <t>沖縄県八重山郡竹富町波照間</t>
        </is>
      </c>
      <c r="L184" s="1">
        <f>HYPERLINK("https://www.hi.u-tokyo.ac.jp/collection/degitalgallary/ryukyu/item/30183", "https://www.hi.u-tokyo.ac.jp/collection/degitalgallary/ryukyu/item/30183")</f>
        <v/>
      </c>
    </row>
    <row r="185">
      <c r="A185" t="inlineStr">
        <is>
          <t>30184</t>
        </is>
      </c>
      <c r="B185" t="inlineStr">
        <is>
          <t>はへひら崎</t>
        </is>
      </c>
      <c r="C185" t="inlineStr">
        <is>
          <t>崎</t>
        </is>
      </c>
      <c r="D185" t="inlineStr">
        <is>
          <t>24.0614344</t>
        </is>
      </c>
      <c r="E185" t="inlineStr">
        <is>
          <t>123.8104698</t>
        </is>
      </c>
      <c r="F185" t="inlineStr">
        <is>
          <t>正保琉球国八山島絵図</t>
        </is>
      </c>
      <c r="G185" t="inlineStr"/>
      <c r="H185" t="inlineStr"/>
      <c r="I185" t="inlineStr">
        <is>
          <t>129</t>
        </is>
      </c>
      <c r="J185" t="inlineStr"/>
      <c r="K185" t="inlineStr">
        <is>
          <t>沖縄県八重山郡竹富町波照間</t>
        </is>
      </c>
      <c r="L185" s="1">
        <f>HYPERLINK("https://www.hi.u-tokyo.ac.jp/collection/degitalgallary/ryukyu/item/30184", "https://www.hi.u-tokyo.ac.jp/collection/degitalgallary/ryukyu/item/30184")</f>
        <v/>
      </c>
    </row>
    <row r="186">
      <c r="A186" t="inlineStr">
        <is>
          <t>30185</t>
        </is>
      </c>
      <c r="B186" t="inlineStr">
        <is>
          <t>入表嶋</t>
        </is>
      </c>
      <c r="C186" t="inlineStr">
        <is>
          <t>島</t>
        </is>
      </c>
      <c r="D186" t="inlineStr">
        <is>
          <t>24.3300613</t>
        </is>
      </c>
      <c r="E186" t="inlineStr">
        <is>
          <t>123.8187977</t>
        </is>
      </c>
      <c r="F186" t="inlineStr">
        <is>
          <t>正保琉球国八山島絵図</t>
        </is>
      </c>
      <c r="G186" t="inlineStr">
        <is>
          <t>八重山嶋之内
嶋廻り十五里
高三千三百三拾弐石七斗九升五合</t>
        </is>
      </c>
      <c r="H186" t="inlineStr"/>
      <c r="I186" t="inlineStr">
        <is>
          <t>130</t>
        </is>
      </c>
      <c r="J186" t="inlineStr"/>
      <c r="K186" t="inlineStr">
        <is>
          <t>沖縄県八重山郡竹富町南風見</t>
        </is>
      </c>
      <c r="L186" s="1">
        <f>HYPERLINK("https://www.hi.u-tokyo.ac.jp/collection/degitalgallary/ryukyu/item/30185", "https://www.hi.u-tokyo.ac.jp/collection/degitalgallary/ryukyu/item/30185")</f>
        <v/>
      </c>
    </row>
    <row r="187">
      <c r="A187" t="inlineStr">
        <is>
          <t>30186</t>
        </is>
      </c>
      <c r="B187" t="inlineStr">
        <is>
          <t>鳩間嶋</t>
        </is>
      </c>
      <c r="C187" t="inlineStr">
        <is>
          <t>島</t>
        </is>
      </c>
      <c r="D187" t="inlineStr">
        <is>
          <t>24.4728533</t>
        </is>
      </c>
      <c r="E187" t="inlineStr">
        <is>
          <t>123.8215894</t>
        </is>
      </c>
      <c r="F187" t="inlineStr">
        <is>
          <t>正保琉球国八山島絵図</t>
        </is>
      </c>
      <c r="G187" t="inlineStr">
        <is>
          <t>こみ間切之内
人居有
嶋廻廿弐町</t>
        </is>
      </c>
      <c r="H187" t="inlineStr"/>
      <c r="I187" t="inlineStr">
        <is>
          <t>131</t>
        </is>
      </c>
      <c r="J187" t="inlineStr"/>
      <c r="K187" t="inlineStr">
        <is>
          <t>沖縄県八重山郡竹富町鳩間</t>
        </is>
      </c>
      <c r="L187" s="1">
        <f>HYPERLINK("https://www.hi.u-tokyo.ac.jp/collection/degitalgallary/ryukyu/item/30186", "https://www.hi.u-tokyo.ac.jp/collection/degitalgallary/ryukyu/item/30186")</f>
        <v/>
      </c>
    </row>
    <row r="188">
      <c r="A188" t="inlineStr">
        <is>
          <t>30187</t>
        </is>
      </c>
      <c r="B188" t="inlineStr">
        <is>
          <t>船かゝり不成</t>
        </is>
      </c>
      <c r="C188" t="inlineStr">
        <is>
          <t>港湾</t>
        </is>
      </c>
      <c r="D188" t="inlineStr"/>
      <c r="E188" t="inlineStr"/>
      <c r="F188" t="inlineStr">
        <is>
          <t>正保琉球国八山島絵図</t>
        </is>
      </c>
      <c r="G188" t="inlineStr"/>
      <c r="H188" t="inlineStr"/>
      <c r="I188" t="inlineStr">
        <is>
          <t>132</t>
        </is>
      </c>
      <c r="J188" t="inlineStr"/>
      <c r="K188" t="inlineStr"/>
      <c r="L188" s="1">
        <f>HYPERLINK("https://www.hi.u-tokyo.ac.jp/collection/degitalgallary/ryukyu/item/30187", "https://www.hi.u-tokyo.ac.jp/collection/degitalgallary/ryukyu/item/30187")</f>
        <v/>
      </c>
    </row>
    <row r="189">
      <c r="A189" t="inlineStr">
        <is>
          <t>30188</t>
        </is>
      </c>
      <c r="B189" t="inlineStr">
        <is>
          <t>ひけ川村より鳩間嶋迄、海上二里半</t>
        </is>
      </c>
      <c r="C189" t="inlineStr">
        <is>
          <t>航路</t>
        </is>
      </c>
      <c r="D189" t="inlineStr"/>
      <c r="E189" t="inlineStr"/>
      <c r="F189" t="inlineStr">
        <is>
          <t>正保琉球国八山島絵図</t>
        </is>
      </c>
      <c r="G189" t="inlineStr"/>
      <c r="H189" t="inlineStr"/>
      <c r="I189" t="inlineStr">
        <is>
          <t>133</t>
        </is>
      </c>
      <c r="J189" t="inlineStr"/>
      <c r="K189" t="inlineStr"/>
      <c r="L189" s="1">
        <f>HYPERLINK("https://www.hi.u-tokyo.ac.jp/collection/degitalgallary/ryukyu/item/30188", "https://www.hi.u-tokyo.ac.jp/collection/degitalgallary/ryukyu/item/30188")</f>
        <v/>
      </c>
    </row>
    <row r="190">
      <c r="A190" t="inlineStr">
        <is>
          <t>30189</t>
        </is>
      </c>
      <c r="B190" t="inlineStr">
        <is>
          <t>歩渡り</t>
        </is>
      </c>
      <c r="C190" t="inlineStr">
        <is>
          <t>渡河点</t>
        </is>
      </c>
      <c r="D190" t="inlineStr"/>
      <c r="E190" t="inlineStr"/>
      <c r="F190" t="inlineStr">
        <is>
          <t>正保琉球国八山島絵図</t>
        </is>
      </c>
      <c r="G190" t="inlineStr"/>
      <c r="H190" t="inlineStr"/>
      <c r="I190" t="inlineStr">
        <is>
          <t>134</t>
        </is>
      </c>
      <c r="J190" t="inlineStr"/>
      <c r="K190" t="inlineStr"/>
      <c r="L190" s="1">
        <f>HYPERLINK("https://www.hi.u-tokyo.ac.jp/collection/degitalgallary/ryukyu/item/30189", "https://www.hi.u-tokyo.ac.jp/collection/degitalgallary/ryukyu/item/30189")</f>
        <v/>
      </c>
    </row>
    <row r="191">
      <c r="A191" t="inlineStr">
        <is>
          <t>30190</t>
        </is>
      </c>
      <c r="B191" t="inlineStr">
        <is>
          <t>平瀬崎</t>
        </is>
      </c>
      <c r="C191" t="inlineStr">
        <is>
          <t>崎</t>
        </is>
      </c>
      <c r="D191" t="inlineStr"/>
      <c r="E191" t="inlineStr"/>
      <c r="F191" t="inlineStr">
        <is>
          <t>正保琉球国八山島絵図</t>
        </is>
      </c>
      <c r="G191" t="inlineStr"/>
      <c r="H191" t="inlineStr"/>
      <c r="I191" t="inlineStr">
        <is>
          <t>135</t>
        </is>
      </c>
      <c r="J191" t="inlineStr"/>
      <c r="K191" t="inlineStr"/>
      <c r="L191" s="1">
        <f>HYPERLINK("https://www.hi.u-tokyo.ac.jp/collection/degitalgallary/ryukyu/item/30190", "https://www.hi.u-tokyo.ac.jp/collection/degitalgallary/ryukyu/item/30190")</f>
        <v/>
      </c>
    </row>
    <row r="192">
      <c r="A192" t="inlineStr">
        <is>
          <t>30191</t>
        </is>
      </c>
      <c r="B192" t="inlineStr">
        <is>
          <t>歩渡り</t>
        </is>
      </c>
      <c r="C192" t="inlineStr">
        <is>
          <t>渡河点</t>
        </is>
      </c>
      <c r="D192" t="inlineStr"/>
      <c r="E192" t="inlineStr"/>
      <c r="F192" t="inlineStr">
        <is>
          <t>正保琉球国八山島絵図</t>
        </is>
      </c>
      <c r="G192" t="inlineStr"/>
      <c r="H192" t="inlineStr"/>
      <c r="I192" t="inlineStr">
        <is>
          <t>136</t>
        </is>
      </c>
      <c r="J192" t="inlineStr"/>
      <c r="K192" t="inlineStr"/>
      <c r="L192" s="1">
        <f>HYPERLINK("https://www.hi.u-tokyo.ac.jp/collection/degitalgallary/ryukyu/item/30191", "https://www.hi.u-tokyo.ac.jp/collection/degitalgallary/ryukyu/item/30191")</f>
        <v/>
      </c>
    </row>
    <row r="193">
      <c r="A193" t="inlineStr">
        <is>
          <t>30192</t>
        </is>
      </c>
      <c r="B193" t="inlineStr">
        <is>
          <t>たら瀬崎</t>
        </is>
      </c>
      <c r="C193" t="inlineStr">
        <is>
          <t>崎</t>
        </is>
      </c>
      <c r="D193" t="inlineStr">
        <is>
          <t>24.364615</t>
        </is>
      </c>
      <c r="E193" t="inlineStr">
        <is>
          <t>123.938925</t>
        </is>
      </c>
      <c r="F193" t="inlineStr">
        <is>
          <t>正保琉球国八山島絵図</t>
        </is>
      </c>
      <c r="G193" t="inlineStr"/>
      <c r="H193" t="inlineStr"/>
      <c r="I193" t="inlineStr">
        <is>
          <t>137</t>
        </is>
      </c>
      <c r="J193" t="inlineStr"/>
      <c r="K193" t="inlineStr">
        <is>
          <t>沖縄県八重山郡竹富町高那</t>
        </is>
      </c>
      <c r="L193" s="1">
        <f>HYPERLINK("https://www.hi.u-tokyo.ac.jp/collection/degitalgallary/ryukyu/item/30192", "https://www.hi.u-tokyo.ac.jp/collection/degitalgallary/ryukyu/item/30192")</f>
        <v/>
      </c>
    </row>
    <row r="194">
      <c r="A194" t="inlineStr">
        <is>
          <t>30193</t>
        </is>
      </c>
      <c r="B194" t="inlineStr">
        <is>
          <t>かきら崎</t>
        </is>
      </c>
      <c r="C194" t="inlineStr">
        <is>
          <t>崎</t>
        </is>
      </c>
      <c r="D194" t="inlineStr">
        <is>
          <t>24.316335</t>
        </is>
      </c>
      <c r="E194" t="inlineStr">
        <is>
          <t>123.926952</t>
        </is>
      </c>
      <c r="F194" t="inlineStr">
        <is>
          <t>正保琉球国八山島絵図</t>
        </is>
      </c>
      <c r="G194" t="inlineStr"/>
      <c r="H194" t="inlineStr"/>
      <c r="I194" t="inlineStr">
        <is>
          <t>138</t>
        </is>
      </c>
      <c r="J194" t="inlineStr"/>
      <c r="K194" t="inlineStr">
        <is>
          <t>沖縄県八重山郡竹富町古見</t>
        </is>
      </c>
      <c r="L194" s="1">
        <f>HYPERLINK("https://www.hi.u-tokyo.ac.jp/collection/degitalgallary/ryukyu/item/30193", "https://www.hi.u-tokyo.ac.jp/collection/degitalgallary/ryukyu/item/30193")</f>
        <v/>
      </c>
    </row>
    <row r="195">
      <c r="A195" t="inlineStr">
        <is>
          <t>30194</t>
        </is>
      </c>
      <c r="B195" t="inlineStr">
        <is>
          <t>船繋不成</t>
        </is>
      </c>
      <c r="C195" t="inlineStr">
        <is>
          <t>港湾</t>
        </is>
      </c>
      <c r="D195" t="inlineStr"/>
      <c r="E195" t="inlineStr"/>
      <c r="F195" t="inlineStr">
        <is>
          <t>正保琉球国八山島絵図</t>
        </is>
      </c>
      <c r="G195" t="inlineStr"/>
      <c r="H195" t="inlineStr"/>
      <c r="I195" t="inlineStr">
        <is>
          <t>139</t>
        </is>
      </c>
      <c r="J195" t="inlineStr"/>
      <c r="K195" t="inlineStr"/>
      <c r="L195" s="1">
        <f>HYPERLINK("https://www.hi.u-tokyo.ac.jp/collection/degitalgallary/ryukyu/item/30194", "https://www.hi.u-tokyo.ac.jp/collection/degitalgallary/ryukyu/item/30194")</f>
        <v/>
      </c>
    </row>
    <row r="196">
      <c r="A196" t="inlineStr">
        <is>
          <t>30195</t>
        </is>
      </c>
      <c r="B196" t="inlineStr">
        <is>
          <t>歩渡り</t>
        </is>
      </c>
      <c r="C196" t="inlineStr">
        <is>
          <t>渡河点</t>
        </is>
      </c>
      <c r="D196" t="inlineStr">
        <is>
          <t>24.3231678</t>
        </is>
      </c>
      <c r="E196" t="inlineStr">
        <is>
          <t>123.9106167</t>
        </is>
      </c>
      <c r="F196" t="inlineStr">
        <is>
          <t>正保琉球国八山島絵図</t>
        </is>
      </c>
      <c r="G196" t="inlineStr"/>
      <c r="H196" t="inlineStr"/>
      <c r="I196" t="inlineStr">
        <is>
          <t>140</t>
        </is>
      </c>
      <c r="J196" t="inlineStr"/>
      <c r="K196" t="inlineStr">
        <is>
          <t>沖縄県八重山郡竹富町古見</t>
        </is>
      </c>
      <c r="L196" s="1">
        <f>HYPERLINK("https://www.hi.u-tokyo.ac.jp/collection/degitalgallary/ryukyu/item/30195", "https://www.hi.u-tokyo.ac.jp/collection/degitalgallary/ryukyu/item/30195")</f>
        <v/>
      </c>
    </row>
    <row r="197">
      <c r="A197" t="inlineStr">
        <is>
          <t>30196</t>
        </is>
      </c>
      <c r="B197" t="inlineStr">
        <is>
          <t>歩渡り</t>
        </is>
      </c>
      <c r="C197" t="inlineStr">
        <is>
          <t>渡河点</t>
        </is>
      </c>
      <c r="D197" t="inlineStr">
        <is>
          <t>24.3135376</t>
        </is>
      </c>
      <c r="E197" t="inlineStr">
        <is>
          <t>123.9063429</t>
        </is>
      </c>
      <c r="F197" t="inlineStr">
        <is>
          <t>正保琉球国八山島絵図</t>
        </is>
      </c>
      <c r="G197" t="inlineStr"/>
      <c r="H197" t="inlineStr"/>
      <c r="I197" t="inlineStr">
        <is>
          <t>141</t>
        </is>
      </c>
      <c r="J197" t="inlineStr"/>
      <c r="K197" t="inlineStr">
        <is>
          <t>沖縄県八重山郡竹富町古見</t>
        </is>
      </c>
      <c r="L197" s="1">
        <f>HYPERLINK("https://www.hi.u-tokyo.ac.jp/collection/degitalgallary/ryukyu/item/30196", "https://www.hi.u-tokyo.ac.jp/collection/degitalgallary/ryukyu/item/30196")</f>
        <v/>
      </c>
    </row>
    <row r="198">
      <c r="A198" t="inlineStr">
        <is>
          <t>30197</t>
        </is>
      </c>
      <c r="B198" t="inlineStr">
        <is>
          <t>此小見間切高之内弐百七拾四石相除</t>
        </is>
      </c>
      <c r="C198" t="inlineStr">
        <is>
          <t>付箋</t>
        </is>
      </c>
      <c r="D198" t="inlineStr"/>
      <c r="E198" t="inlineStr"/>
      <c r="F198" t="inlineStr">
        <is>
          <t>正保琉球国八山島絵図</t>
        </is>
      </c>
      <c r="G198" t="inlineStr">
        <is>
          <t>小浜嶋之高ニ相立也、但二重書故如此也</t>
        </is>
      </c>
      <c r="H198" t="inlineStr"/>
      <c r="I198" t="inlineStr">
        <is>
          <t>142</t>
        </is>
      </c>
      <c r="J198" t="inlineStr"/>
      <c r="K198" t="inlineStr"/>
      <c r="L198" s="1">
        <f>HYPERLINK("https://www.hi.u-tokyo.ac.jp/collection/degitalgallary/ryukyu/item/30197", "https://www.hi.u-tokyo.ac.jp/collection/degitalgallary/ryukyu/item/30197")</f>
        <v/>
      </c>
    </row>
    <row r="199">
      <c r="A199" t="inlineStr">
        <is>
          <t>30198</t>
        </is>
      </c>
      <c r="B199" t="inlineStr">
        <is>
          <t>ないせ崎</t>
        </is>
      </c>
      <c r="C199" t="inlineStr">
        <is>
          <t>崎</t>
        </is>
      </c>
      <c r="D199" t="inlineStr">
        <is>
          <t>24.274796</t>
        </is>
      </c>
      <c r="E199" t="inlineStr">
        <is>
          <t>123.901739</t>
        </is>
      </c>
      <c r="F199" t="inlineStr">
        <is>
          <t>正保琉球国八山島絵図</t>
        </is>
      </c>
      <c r="G199" t="inlineStr"/>
      <c r="H199" t="inlineStr"/>
      <c r="I199" t="inlineStr">
        <is>
          <t>143</t>
        </is>
      </c>
      <c r="J199" t="inlineStr"/>
      <c r="K199" t="inlineStr">
        <is>
          <t>沖縄県八重山郡竹富町南風見仲</t>
        </is>
      </c>
      <c r="L199" s="1">
        <f>HYPERLINK("https://www.hi.u-tokyo.ac.jp/collection/degitalgallary/ryukyu/item/30198", "https://www.hi.u-tokyo.ac.jp/collection/degitalgallary/ryukyu/item/30198")</f>
        <v/>
      </c>
    </row>
    <row r="200">
      <c r="A200" t="inlineStr">
        <is>
          <t>30199</t>
        </is>
      </c>
      <c r="B200" t="inlineStr">
        <is>
          <t>此間船渡一町</t>
        </is>
      </c>
      <c r="C200" t="inlineStr">
        <is>
          <t>その他</t>
        </is>
      </c>
      <c r="D200" t="inlineStr"/>
      <c r="E200" t="inlineStr"/>
      <c r="F200" t="inlineStr">
        <is>
          <t>正保琉球国八山島絵図</t>
        </is>
      </c>
      <c r="G200" t="inlineStr"/>
      <c r="H200" t="inlineStr"/>
      <c r="I200" t="inlineStr">
        <is>
          <t>144</t>
        </is>
      </c>
      <c r="J200" t="inlineStr"/>
      <c r="K200" t="inlineStr"/>
      <c r="L200" s="1">
        <f>HYPERLINK("https://www.hi.u-tokyo.ac.jp/collection/degitalgallary/ryukyu/item/30199", "https://www.hi.u-tokyo.ac.jp/collection/degitalgallary/ryukyu/item/30199")</f>
        <v/>
      </c>
    </row>
    <row r="201">
      <c r="A201" t="inlineStr">
        <is>
          <t>30200</t>
        </is>
      </c>
      <c r="B201" t="inlineStr">
        <is>
          <t>崎枝崎</t>
        </is>
      </c>
      <c r="C201" t="inlineStr">
        <is>
          <t>崎</t>
        </is>
      </c>
      <c r="D201" t="inlineStr">
        <is>
          <t>24.2569468</t>
        </is>
      </c>
      <c r="E201" t="inlineStr">
        <is>
          <t>123.8795777</t>
        </is>
      </c>
      <c r="F201" t="inlineStr">
        <is>
          <t>正保琉球国八山島絵図</t>
        </is>
      </c>
      <c r="G201" t="inlineStr"/>
      <c r="H201" t="inlineStr"/>
      <c r="I201" t="inlineStr">
        <is>
          <t>145</t>
        </is>
      </c>
      <c r="J201" t="inlineStr"/>
      <c r="K201" t="inlineStr">
        <is>
          <t>沖縄県八重山郡竹富町南風見</t>
        </is>
      </c>
      <c r="L201" s="1">
        <f>HYPERLINK("https://www.hi.u-tokyo.ac.jp/collection/degitalgallary/ryukyu/item/30200", "https://www.hi.u-tokyo.ac.jp/collection/degitalgallary/ryukyu/item/30200")</f>
        <v/>
      </c>
    </row>
    <row r="202">
      <c r="A202" t="inlineStr">
        <is>
          <t>30201</t>
        </is>
      </c>
      <c r="B202" t="inlineStr">
        <is>
          <t>はへめ崎</t>
        </is>
      </c>
      <c r="C202" t="inlineStr">
        <is>
          <t>崎</t>
        </is>
      </c>
      <c r="D202" t="inlineStr">
        <is>
          <t>24.2723326</t>
        </is>
      </c>
      <c r="E202" t="inlineStr">
        <is>
          <t>123.8306272</t>
        </is>
      </c>
      <c r="F202" t="inlineStr">
        <is>
          <t>正保琉球国八山島絵図</t>
        </is>
      </c>
      <c r="G202" t="inlineStr"/>
      <c r="H202" t="inlineStr"/>
      <c r="I202" t="inlineStr">
        <is>
          <t>146</t>
        </is>
      </c>
      <c r="J202" t="inlineStr"/>
      <c r="K202" t="inlineStr">
        <is>
          <t>沖縄県八重山郡竹富町南風見</t>
        </is>
      </c>
      <c r="L202" s="1">
        <f>HYPERLINK("https://www.hi.u-tokyo.ac.jp/collection/degitalgallary/ryukyu/item/30201", "https://www.hi.u-tokyo.ac.jp/collection/degitalgallary/ryukyu/item/30201")</f>
        <v/>
      </c>
    </row>
    <row r="203">
      <c r="A203" t="inlineStr">
        <is>
          <t>30202</t>
        </is>
      </c>
      <c r="B203" t="inlineStr">
        <is>
          <t>大野崎</t>
        </is>
      </c>
      <c r="C203" t="inlineStr">
        <is>
          <t>崎</t>
        </is>
      </c>
      <c r="D203" t="inlineStr"/>
      <c r="E203" t="inlineStr"/>
      <c r="F203" t="inlineStr">
        <is>
          <t>正保琉球国八山島絵図</t>
        </is>
      </c>
      <c r="G203" t="inlineStr"/>
      <c r="H203" t="inlineStr"/>
      <c r="I203" t="inlineStr">
        <is>
          <t>147</t>
        </is>
      </c>
      <c r="J203" t="inlineStr"/>
      <c r="K203" t="inlineStr"/>
      <c r="L203" s="1">
        <f>HYPERLINK("https://www.hi.u-tokyo.ac.jp/collection/degitalgallary/ryukyu/item/30202", "https://www.hi.u-tokyo.ac.jp/collection/degitalgallary/ryukyu/item/30202")</f>
        <v/>
      </c>
    </row>
    <row r="204">
      <c r="A204" t="inlineStr">
        <is>
          <t>30203</t>
        </is>
      </c>
      <c r="B204" t="inlineStr">
        <is>
          <t>入表間切よりはへめ崎迄、九里卅壱町</t>
        </is>
      </c>
      <c r="C204" t="inlineStr">
        <is>
          <t>陸路</t>
        </is>
      </c>
      <c r="D204" t="inlineStr"/>
      <c r="E204" t="inlineStr"/>
      <c r="F204" t="inlineStr">
        <is>
          <t>正保琉球国八山島絵図</t>
        </is>
      </c>
      <c r="G204" t="inlineStr"/>
      <c r="H204" t="inlineStr"/>
      <c r="I204" t="inlineStr">
        <is>
          <t>148</t>
        </is>
      </c>
      <c r="J204" t="inlineStr"/>
      <c r="K204" t="inlineStr"/>
      <c r="L204" s="1">
        <f>HYPERLINK("https://www.hi.u-tokyo.ac.jp/collection/degitalgallary/ryukyu/item/30203", "https://www.hi.u-tokyo.ac.jp/collection/degitalgallary/ryukyu/item/30203")</f>
        <v/>
      </c>
    </row>
    <row r="205">
      <c r="A205" t="inlineStr">
        <is>
          <t>30204</t>
        </is>
      </c>
      <c r="B205" t="inlineStr">
        <is>
          <t>歩渡り</t>
        </is>
      </c>
      <c r="C205" t="inlineStr">
        <is>
          <t>渡河点</t>
        </is>
      </c>
      <c r="D205" t="inlineStr"/>
      <c r="E205" t="inlineStr"/>
      <c r="F205" t="inlineStr">
        <is>
          <t>正保琉球国八山島絵図</t>
        </is>
      </c>
      <c r="G205" t="inlineStr"/>
      <c r="H205" t="inlineStr"/>
      <c r="I205" t="inlineStr">
        <is>
          <t>149</t>
        </is>
      </c>
      <c r="J205" t="inlineStr"/>
      <c r="K205" t="inlineStr"/>
      <c r="L205" s="1">
        <f>HYPERLINK("https://www.hi.u-tokyo.ac.jp/collection/degitalgallary/ryukyu/item/30204", "https://www.hi.u-tokyo.ac.jp/collection/degitalgallary/ryukyu/item/30204")</f>
        <v/>
      </c>
    </row>
    <row r="206">
      <c r="A206" t="inlineStr">
        <is>
          <t>30205</t>
        </is>
      </c>
      <c r="B206" t="inlineStr">
        <is>
          <t>歩渡り</t>
        </is>
      </c>
      <c r="C206" t="inlineStr">
        <is>
          <t>渡河点</t>
        </is>
      </c>
      <c r="D206" t="inlineStr"/>
      <c r="E206" t="inlineStr"/>
      <c r="F206" t="inlineStr">
        <is>
          <t>正保琉球国八山島絵図</t>
        </is>
      </c>
      <c r="G206" t="inlineStr"/>
      <c r="H206" t="inlineStr"/>
      <c r="I206" t="inlineStr">
        <is>
          <t>150</t>
        </is>
      </c>
      <c r="J206" t="inlineStr"/>
      <c r="K206" t="inlineStr"/>
      <c r="L206" s="1">
        <f>HYPERLINK("https://www.hi.u-tokyo.ac.jp/collection/degitalgallary/ryukyu/item/30205", "https://www.hi.u-tokyo.ac.jp/collection/degitalgallary/ryukyu/item/30205")</f>
        <v/>
      </c>
    </row>
    <row r="207">
      <c r="A207" t="inlineStr">
        <is>
          <t>30206</t>
        </is>
      </c>
      <c r="B207" t="inlineStr">
        <is>
          <t>歩渡り</t>
        </is>
      </c>
      <c r="C207" t="inlineStr">
        <is>
          <t>渡河点</t>
        </is>
      </c>
      <c r="D207" t="inlineStr"/>
      <c r="E207" t="inlineStr"/>
      <c r="F207" t="inlineStr">
        <is>
          <t>正保琉球国八山島絵図</t>
        </is>
      </c>
      <c r="G207" t="inlineStr"/>
      <c r="H207" t="inlineStr"/>
      <c r="I207" t="inlineStr">
        <is>
          <t>151</t>
        </is>
      </c>
      <c r="J207" t="inlineStr"/>
      <c r="K207" t="inlineStr"/>
      <c r="L207" s="1">
        <f>HYPERLINK("https://www.hi.u-tokyo.ac.jp/collection/degitalgallary/ryukyu/item/30206", "https://www.hi.u-tokyo.ac.jp/collection/degitalgallary/ryukyu/item/30206")</f>
        <v/>
      </c>
    </row>
    <row r="208">
      <c r="A208" t="inlineStr">
        <is>
          <t>30207</t>
        </is>
      </c>
      <c r="B208" t="inlineStr">
        <is>
          <t>そなひ村</t>
        </is>
      </c>
      <c r="C208" t="inlineStr">
        <is>
          <t>その他</t>
        </is>
      </c>
      <c r="D208" t="inlineStr">
        <is>
          <t>24.3909469</t>
        </is>
      </c>
      <c r="E208" t="inlineStr">
        <is>
          <t>123.7477791</t>
        </is>
      </c>
      <c r="F208" t="inlineStr">
        <is>
          <t>正保琉球国八山島絵図</t>
        </is>
      </c>
      <c r="G208" t="inlineStr"/>
      <c r="H208" t="inlineStr"/>
      <c r="I208" t="inlineStr">
        <is>
          <t>152</t>
        </is>
      </c>
      <c r="J208" t="inlineStr"/>
      <c r="K208" t="inlineStr">
        <is>
          <t>沖縄県八重山郡竹富町西表</t>
        </is>
      </c>
      <c r="L208" s="1">
        <f>HYPERLINK("https://www.hi.u-tokyo.ac.jp/collection/degitalgallary/ryukyu/item/30207", "https://www.hi.u-tokyo.ac.jp/collection/degitalgallary/ryukyu/item/30207")</f>
        <v/>
      </c>
    </row>
    <row r="209">
      <c r="A209" t="inlineStr">
        <is>
          <t>30208</t>
        </is>
      </c>
      <c r="B209" t="inlineStr">
        <is>
          <t>船出入なし</t>
        </is>
      </c>
      <c r="C209" t="inlineStr">
        <is>
          <t>港湾</t>
        </is>
      </c>
      <c r="D209" t="inlineStr"/>
      <c r="E209" t="inlineStr"/>
      <c r="F209" t="inlineStr">
        <is>
          <t>正保琉球国八山島絵図</t>
        </is>
      </c>
      <c r="G209" t="inlineStr"/>
      <c r="H209" t="inlineStr"/>
      <c r="I209" t="inlineStr">
        <is>
          <t>153</t>
        </is>
      </c>
      <c r="J209" t="inlineStr"/>
      <c r="K209" t="inlineStr"/>
      <c r="L209" s="1">
        <f>HYPERLINK("https://www.hi.u-tokyo.ac.jp/collection/degitalgallary/ryukyu/item/30208", "https://www.hi.u-tokyo.ac.jp/collection/degitalgallary/ryukyu/item/30208")</f>
        <v/>
      </c>
    </row>
    <row r="210">
      <c r="A210" t="inlineStr">
        <is>
          <t>30209</t>
        </is>
      </c>
      <c r="B210" t="inlineStr">
        <is>
          <t>につま崎</t>
        </is>
      </c>
      <c r="C210" t="inlineStr">
        <is>
          <t>崎</t>
        </is>
      </c>
      <c r="D210" t="inlineStr"/>
      <c r="E210" t="inlineStr"/>
      <c r="F210" t="inlineStr">
        <is>
          <t>正保琉球国八山島絵図</t>
        </is>
      </c>
      <c r="G210" t="inlineStr"/>
      <c r="H210" t="inlineStr"/>
      <c r="I210" t="inlineStr">
        <is>
          <t>154</t>
        </is>
      </c>
      <c r="J210" t="inlineStr"/>
      <c r="K210" t="inlineStr"/>
      <c r="L210" s="1">
        <f>HYPERLINK("https://www.hi.u-tokyo.ac.jp/collection/degitalgallary/ryukyu/item/30209", "https://www.hi.u-tokyo.ac.jp/collection/degitalgallary/ryukyu/item/30209")</f>
        <v/>
      </c>
    </row>
    <row r="211">
      <c r="A211" t="inlineStr">
        <is>
          <t>30210</t>
        </is>
      </c>
      <c r="B211" t="inlineStr">
        <is>
          <t>おかみ崎</t>
        </is>
      </c>
      <c r="C211" t="inlineStr">
        <is>
          <t>崎</t>
        </is>
      </c>
      <c r="D211" t="inlineStr">
        <is>
          <t>24.4091733</t>
        </is>
      </c>
      <c r="E211" t="inlineStr">
        <is>
          <t>123.8116565</t>
        </is>
      </c>
      <c r="F211" t="inlineStr">
        <is>
          <t>正保琉球国八山島絵図</t>
        </is>
      </c>
      <c r="G211" t="inlineStr"/>
      <c r="H211" t="inlineStr"/>
      <c r="I211" t="inlineStr">
        <is>
          <t>155</t>
        </is>
      </c>
      <c r="J211" t="inlineStr"/>
      <c r="K211" t="inlineStr">
        <is>
          <t>沖縄県八重山郡竹富町上原</t>
        </is>
      </c>
      <c r="L211" s="1">
        <f>HYPERLINK("https://www.hi.u-tokyo.ac.jp/collection/degitalgallary/ryukyu/item/30210", "https://www.hi.u-tokyo.ac.jp/collection/degitalgallary/ryukyu/item/30210")</f>
        <v/>
      </c>
    </row>
    <row r="212">
      <c r="A212" t="inlineStr">
        <is>
          <t>30211</t>
        </is>
      </c>
      <c r="B212" t="inlineStr">
        <is>
          <t>おない崎</t>
        </is>
      </c>
      <c r="C212" t="inlineStr">
        <is>
          <t>崎</t>
        </is>
      </c>
      <c r="D212" t="inlineStr"/>
      <c r="E212" t="inlineStr"/>
      <c r="F212" t="inlineStr">
        <is>
          <t>正保琉球国八山島絵図</t>
        </is>
      </c>
      <c r="G212" t="inlineStr"/>
      <c r="H212" t="inlineStr"/>
      <c r="I212" t="inlineStr">
        <is>
          <t>156</t>
        </is>
      </c>
      <c r="J212" t="inlineStr"/>
      <c r="K212" t="inlineStr"/>
      <c r="L212" s="1">
        <f>HYPERLINK("https://www.hi.u-tokyo.ac.jp/collection/degitalgallary/ryukyu/item/30211", "https://www.hi.u-tokyo.ac.jp/collection/degitalgallary/ryukyu/item/30211")</f>
        <v/>
      </c>
    </row>
    <row r="213">
      <c r="A213" t="inlineStr">
        <is>
          <t>30212</t>
        </is>
      </c>
      <c r="B213" t="inlineStr">
        <is>
          <t>おかみ崎</t>
        </is>
      </c>
      <c r="C213" t="inlineStr">
        <is>
          <t>崎</t>
        </is>
      </c>
      <c r="D213" t="inlineStr">
        <is>
          <t>24.425246</t>
        </is>
      </c>
      <c r="E213" t="inlineStr">
        <is>
          <t>123.765583</t>
        </is>
      </c>
      <c r="F213" t="inlineStr">
        <is>
          <t>正保琉球国八山島絵図</t>
        </is>
      </c>
      <c r="G213" t="inlineStr"/>
      <c r="H213" t="inlineStr"/>
      <c r="I213" t="inlineStr">
        <is>
          <t>157</t>
        </is>
      </c>
      <c r="J213" t="inlineStr"/>
      <c r="K213" t="inlineStr">
        <is>
          <t>沖縄県八重山郡竹富町上原</t>
        </is>
      </c>
      <c r="L213" s="1">
        <f>HYPERLINK("https://www.hi.u-tokyo.ac.jp/collection/degitalgallary/ryukyu/item/30212", "https://www.hi.u-tokyo.ac.jp/collection/degitalgallary/ryukyu/item/30212")</f>
        <v/>
      </c>
    </row>
    <row r="214">
      <c r="A214" t="inlineStr">
        <is>
          <t>30213</t>
        </is>
      </c>
      <c r="B214" t="inlineStr">
        <is>
          <t>船出入なし</t>
        </is>
      </c>
      <c r="C214" t="inlineStr">
        <is>
          <t>港湾</t>
        </is>
      </c>
      <c r="D214" t="inlineStr"/>
      <c r="E214" t="inlineStr"/>
      <c r="F214" t="inlineStr">
        <is>
          <t>正保琉球国八山島絵図</t>
        </is>
      </c>
      <c r="G214" t="inlineStr"/>
      <c r="H214" t="inlineStr"/>
      <c r="I214" t="inlineStr">
        <is>
          <t>158</t>
        </is>
      </c>
      <c r="J214" t="inlineStr"/>
      <c r="K214" t="inlineStr"/>
      <c r="L214" s="1">
        <f>HYPERLINK("https://www.hi.u-tokyo.ac.jp/collection/degitalgallary/ryukyu/item/30213", "https://www.hi.u-tokyo.ac.jp/collection/degitalgallary/ryukyu/item/30213")</f>
        <v/>
      </c>
    </row>
    <row r="215">
      <c r="A215" t="inlineStr">
        <is>
          <t>30214</t>
        </is>
      </c>
      <c r="B215" t="inlineStr">
        <is>
          <t>いめ城崎</t>
        </is>
      </c>
      <c r="C215" t="inlineStr">
        <is>
          <t>崎</t>
        </is>
      </c>
      <c r="D215" t="inlineStr">
        <is>
          <t>24.4015194</t>
        </is>
      </c>
      <c r="E215" t="inlineStr">
        <is>
          <t>123.7512687</t>
        </is>
      </c>
      <c r="F215" t="inlineStr">
        <is>
          <t>正保琉球国八山島絵図</t>
        </is>
      </c>
      <c r="G215" t="inlineStr"/>
      <c r="H215" t="inlineStr"/>
      <c r="I215" t="inlineStr">
        <is>
          <t>159</t>
        </is>
      </c>
      <c r="J215" t="inlineStr"/>
      <c r="K215" t="inlineStr">
        <is>
          <t>沖縄県八重山郡竹富町西表</t>
        </is>
      </c>
      <c r="L215" s="1">
        <f>HYPERLINK("https://www.hi.u-tokyo.ac.jp/collection/degitalgallary/ryukyu/item/30214", "https://www.hi.u-tokyo.ac.jp/collection/degitalgallary/ryukyu/item/30214")</f>
        <v/>
      </c>
    </row>
    <row r="216">
      <c r="A216" t="inlineStr">
        <is>
          <t>30215</t>
        </is>
      </c>
      <c r="B216" t="inlineStr">
        <is>
          <t>船繋り不成</t>
        </is>
      </c>
      <c r="C216" t="inlineStr">
        <is>
          <t>港湾</t>
        </is>
      </c>
      <c r="D216" t="inlineStr"/>
      <c r="E216" t="inlineStr"/>
      <c r="F216" t="inlineStr">
        <is>
          <t>正保琉球国八山島絵図</t>
        </is>
      </c>
      <c r="G216" t="inlineStr"/>
      <c r="H216" t="inlineStr"/>
      <c r="I216" t="inlineStr">
        <is>
          <t>160</t>
        </is>
      </c>
      <c r="J216" t="inlineStr"/>
      <c r="K216" t="inlineStr"/>
      <c r="L216" s="1">
        <f>HYPERLINK("https://www.hi.u-tokyo.ac.jp/collection/degitalgallary/ryukyu/item/30215", "https://www.hi.u-tokyo.ac.jp/collection/degitalgallary/ryukyu/item/30215")</f>
        <v/>
      </c>
    </row>
    <row r="217">
      <c r="A217" t="inlineStr">
        <is>
          <t>30216</t>
        </is>
      </c>
      <c r="B217" t="inlineStr">
        <is>
          <t>大とう崎</t>
        </is>
      </c>
      <c r="C217" t="inlineStr">
        <is>
          <t>崎</t>
        </is>
      </c>
      <c r="D217" t="inlineStr"/>
      <c r="E217" t="inlineStr"/>
      <c r="F217" t="inlineStr">
        <is>
          <t>正保琉球国八山島絵図</t>
        </is>
      </c>
      <c r="G217" t="inlineStr"/>
      <c r="H217" t="inlineStr"/>
      <c r="I217" t="inlineStr">
        <is>
          <t>161</t>
        </is>
      </c>
      <c r="J217" t="inlineStr"/>
      <c r="K217" t="inlineStr"/>
      <c r="L217" s="1">
        <f>HYPERLINK("https://www.hi.u-tokyo.ac.jp/collection/degitalgallary/ryukyu/item/30216", "https://www.hi.u-tokyo.ac.jp/collection/degitalgallary/ryukyu/item/30216")</f>
        <v/>
      </c>
    </row>
    <row r="218">
      <c r="A218" t="inlineStr">
        <is>
          <t>30217</t>
        </is>
      </c>
      <c r="B218" t="inlineStr">
        <is>
          <t>此ひせ船通り場八町、深サ三十四尋</t>
        </is>
      </c>
      <c r="C218" t="inlineStr">
        <is>
          <t>港湾</t>
        </is>
      </c>
      <c r="D218" t="inlineStr"/>
      <c r="E218" t="inlineStr"/>
      <c r="F218" t="inlineStr">
        <is>
          <t>正保琉球国八山島絵図</t>
        </is>
      </c>
      <c r="G218" t="inlineStr">
        <is>
          <t>船出入不自由</t>
        </is>
      </c>
      <c r="H218" t="inlineStr"/>
      <c r="I218" t="inlineStr">
        <is>
          <t>162</t>
        </is>
      </c>
      <c r="J218" t="inlineStr"/>
      <c r="K218" t="inlineStr"/>
      <c r="L218" s="1">
        <f>HYPERLINK("https://www.hi.u-tokyo.ac.jp/collection/degitalgallary/ryukyu/item/30217", "https://www.hi.u-tokyo.ac.jp/collection/degitalgallary/ryukyu/item/30217")</f>
        <v/>
      </c>
    </row>
    <row r="219">
      <c r="A219" t="inlineStr">
        <is>
          <t>30218</t>
        </is>
      </c>
      <c r="B219" t="inlineStr">
        <is>
          <t>外離嶋</t>
        </is>
      </c>
      <c r="C219" t="inlineStr">
        <is>
          <t>島</t>
        </is>
      </c>
      <c r="D219" t="inlineStr">
        <is>
          <t>24.3726358</t>
        </is>
      </c>
      <c r="E219" t="inlineStr">
        <is>
          <t>123.7168441</t>
        </is>
      </c>
      <c r="F219" t="inlineStr">
        <is>
          <t>正保琉球国八山島絵図</t>
        </is>
      </c>
      <c r="G219" t="inlineStr">
        <is>
          <t>人居なし</t>
        </is>
      </c>
      <c r="H219" t="inlineStr"/>
      <c r="I219" t="inlineStr">
        <is>
          <t>163</t>
        </is>
      </c>
      <c r="J219" t="inlineStr"/>
      <c r="K219" t="inlineStr">
        <is>
          <t>沖縄県八重山郡竹富町西表</t>
        </is>
      </c>
      <c r="L219" s="1">
        <f>HYPERLINK("https://www.hi.u-tokyo.ac.jp/collection/degitalgallary/ryukyu/item/30218", "https://www.hi.u-tokyo.ac.jp/collection/degitalgallary/ryukyu/item/30218")</f>
        <v/>
      </c>
    </row>
    <row r="220">
      <c r="A220" t="inlineStr">
        <is>
          <t>30219</t>
        </is>
      </c>
      <c r="B220" t="inlineStr">
        <is>
          <t>此間十四町</t>
        </is>
      </c>
      <c r="C220" t="inlineStr">
        <is>
          <t>その他</t>
        </is>
      </c>
      <c r="D220" t="inlineStr"/>
      <c r="E220" t="inlineStr"/>
      <c r="F220" t="inlineStr">
        <is>
          <t>正保琉球国八山島絵図</t>
        </is>
      </c>
      <c r="G220" t="inlineStr"/>
      <c r="H220" t="inlineStr"/>
      <c r="I220" t="inlineStr">
        <is>
          <t>164</t>
        </is>
      </c>
      <c r="J220" t="inlineStr"/>
      <c r="K220" t="inlineStr"/>
      <c r="L220" s="1">
        <f>HYPERLINK("https://www.hi.u-tokyo.ac.jp/collection/degitalgallary/ryukyu/item/30219", "https://www.hi.u-tokyo.ac.jp/collection/degitalgallary/ryukyu/item/30219")</f>
        <v/>
      </c>
    </row>
    <row r="221">
      <c r="A221" t="inlineStr">
        <is>
          <t>30220</t>
        </is>
      </c>
      <c r="B221" t="inlineStr">
        <is>
          <t>野城崎</t>
        </is>
      </c>
      <c r="C221" t="inlineStr">
        <is>
          <t>崎</t>
        </is>
      </c>
      <c r="D221" t="inlineStr">
        <is>
          <t>24.3766014</t>
        </is>
      </c>
      <c r="E221" t="inlineStr">
        <is>
          <t>123.7279496</t>
        </is>
      </c>
      <c r="F221" t="inlineStr">
        <is>
          <t>正保琉球国八山島絵図</t>
        </is>
      </c>
      <c r="G221" t="inlineStr"/>
      <c r="H221" t="inlineStr"/>
      <c r="I221" t="inlineStr">
        <is>
          <t>165</t>
        </is>
      </c>
      <c r="J221" t="inlineStr"/>
      <c r="K221" t="inlineStr">
        <is>
          <t>沖縄県八重山郡竹富町西表</t>
        </is>
      </c>
      <c r="L221" s="1">
        <f>HYPERLINK("https://www.hi.u-tokyo.ac.jp/collection/degitalgallary/ryukyu/item/30220", "https://www.hi.u-tokyo.ac.jp/collection/degitalgallary/ryukyu/item/30220")</f>
        <v/>
      </c>
    </row>
    <row r="222">
      <c r="A222" t="inlineStr">
        <is>
          <t>30221</t>
        </is>
      </c>
      <c r="B222" t="inlineStr">
        <is>
          <t>此外はなれ船かゝり場、広サ六町
深サ八尋、入四町、大船十四五艘程
かゝる何風にても船繋自由</t>
        </is>
      </c>
      <c r="C222" t="inlineStr">
        <is>
          <t>港湾</t>
        </is>
      </c>
      <c r="D222" t="inlineStr">
        <is>
          <t>24.3726119</t>
        </is>
      </c>
      <c r="E222" t="inlineStr">
        <is>
          <t>123.7202264</t>
        </is>
      </c>
      <c r="F222" t="inlineStr">
        <is>
          <t>正保琉球国八山島絵図</t>
        </is>
      </c>
      <c r="G222" t="inlineStr"/>
      <c r="H222" t="inlineStr"/>
      <c r="I222" t="inlineStr">
        <is>
          <t>166</t>
        </is>
      </c>
      <c r="J222" t="inlineStr"/>
      <c r="K222" t="inlineStr">
        <is>
          <t>沖縄県八重山郡竹富町西表</t>
        </is>
      </c>
      <c r="L222" s="1">
        <f>HYPERLINK("https://www.hi.u-tokyo.ac.jp/collection/degitalgallary/ryukyu/item/30221", "https://www.hi.u-tokyo.ac.jp/collection/degitalgallary/ryukyu/item/30221")</f>
        <v/>
      </c>
    </row>
    <row r="223">
      <c r="A223" t="inlineStr">
        <is>
          <t>30222</t>
        </is>
      </c>
      <c r="B223" t="inlineStr">
        <is>
          <t>内離嶋</t>
        </is>
      </c>
      <c r="C223" t="inlineStr">
        <is>
          <t>島</t>
        </is>
      </c>
      <c r="D223" t="inlineStr">
        <is>
          <t>24.3530168</t>
        </is>
      </c>
      <c r="E223" t="inlineStr">
        <is>
          <t>123.7378026</t>
        </is>
      </c>
      <c r="F223" t="inlineStr">
        <is>
          <t>正保琉球国八山島絵図</t>
        </is>
      </c>
      <c r="G223" t="inlineStr">
        <is>
          <t>人居無し</t>
        </is>
      </c>
      <c r="H223" t="inlineStr"/>
      <c r="I223" t="inlineStr">
        <is>
          <t>167</t>
        </is>
      </c>
      <c r="J223" t="inlineStr"/>
      <c r="K223" t="inlineStr">
        <is>
          <t>沖縄県八重山郡竹富町西表</t>
        </is>
      </c>
      <c r="L223" s="1">
        <f>HYPERLINK("https://www.hi.u-tokyo.ac.jp/collection/degitalgallary/ryukyu/item/30222", "https://www.hi.u-tokyo.ac.jp/collection/degitalgallary/ryukyu/item/30222")</f>
        <v/>
      </c>
    </row>
    <row r="224">
      <c r="A224" t="inlineStr">
        <is>
          <t>30223</t>
        </is>
      </c>
      <c r="B224" t="inlineStr">
        <is>
          <t>船出入なし</t>
        </is>
      </c>
      <c r="C224" t="inlineStr">
        <is>
          <t>港湾</t>
        </is>
      </c>
      <c r="D224" t="inlineStr"/>
      <c r="E224" t="inlineStr"/>
      <c r="F224" t="inlineStr">
        <is>
          <t>正保琉球国八山島絵図</t>
        </is>
      </c>
      <c r="G224" t="inlineStr"/>
      <c r="H224" t="inlineStr"/>
      <c r="I224" t="inlineStr">
        <is>
          <t>168</t>
        </is>
      </c>
      <c r="J224" t="inlineStr"/>
      <c r="K224" t="inlineStr"/>
      <c r="L224" s="1">
        <f>HYPERLINK("https://www.hi.u-tokyo.ac.jp/collection/degitalgallary/ryukyu/item/30223", "https://www.hi.u-tokyo.ac.jp/collection/degitalgallary/ryukyu/item/30223")</f>
        <v/>
      </c>
    </row>
    <row r="225">
      <c r="A225" t="inlineStr">
        <is>
          <t>30224</t>
        </is>
      </c>
      <c r="B225" t="inlineStr">
        <is>
          <t>さは崎</t>
        </is>
      </c>
      <c r="C225" t="inlineStr">
        <is>
          <t>崎</t>
        </is>
      </c>
      <c r="D225" t="inlineStr">
        <is>
          <t>24.349741</t>
        </is>
      </c>
      <c r="E225" t="inlineStr">
        <is>
          <t>123.703696</t>
        </is>
      </c>
      <c r="F225" t="inlineStr">
        <is>
          <t>正保琉球国八山島絵図</t>
        </is>
      </c>
      <c r="G225" t="inlineStr"/>
      <c r="H225" t="inlineStr"/>
      <c r="I225" t="inlineStr">
        <is>
          <t>169</t>
        </is>
      </c>
      <c r="J225" t="inlineStr"/>
      <c r="K225" t="inlineStr">
        <is>
          <t>沖縄県八重山郡竹富町西表</t>
        </is>
      </c>
      <c r="L225" s="1">
        <f>HYPERLINK("https://www.hi.u-tokyo.ac.jp/collection/degitalgallary/ryukyu/item/30224", "https://www.hi.u-tokyo.ac.jp/collection/degitalgallary/ryukyu/item/30224")</f>
        <v/>
      </c>
    </row>
    <row r="226">
      <c r="A226" t="inlineStr">
        <is>
          <t>30225</t>
        </is>
      </c>
      <c r="B226" t="inlineStr">
        <is>
          <t>船出入なし</t>
        </is>
      </c>
      <c r="C226" t="inlineStr">
        <is>
          <t>港湾</t>
        </is>
      </c>
      <c r="D226" t="inlineStr">
        <is>
          <t>24.3161562</t>
        </is>
      </c>
      <c r="E226" t="inlineStr">
        <is>
          <t>123.6774809</t>
        </is>
      </c>
      <c r="F226" t="inlineStr">
        <is>
          <t>正保琉球国八山島絵図</t>
        </is>
      </c>
      <c r="G226" t="inlineStr"/>
      <c r="H226" t="inlineStr"/>
      <c r="I226" t="inlineStr">
        <is>
          <t>170</t>
        </is>
      </c>
      <c r="J226" t="inlineStr"/>
      <c r="K226" t="inlineStr"/>
      <c r="L226" s="1">
        <f>HYPERLINK("https://www.hi.u-tokyo.ac.jp/collection/degitalgallary/ryukyu/item/30225", "https://www.hi.u-tokyo.ac.jp/collection/degitalgallary/ryukyu/item/30225")</f>
        <v/>
      </c>
    </row>
    <row r="227">
      <c r="A227" t="inlineStr">
        <is>
          <t>30226</t>
        </is>
      </c>
      <c r="B227" t="inlineStr">
        <is>
          <t>浜崎</t>
        </is>
      </c>
      <c r="C227" t="inlineStr">
        <is>
          <t>崎</t>
        </is>
      </c>
      <c r="D227" t="inlineStr"/>
      <c r="E227" t="inlineStr"/>
      <c r="F227" t="inlineStr">
        <is>
          <t>正保琉球国八山島絵図</t>
        </is>
      </c>
      <c r="G227" t="inlineStr"/>
      <c r="H227" t="inlineStr"/>
      <c r="I227" t="inlineStr">
        <is>
          <t>171</t>
        </is>
      </c>
      <c r="J227" t="inlineStr"/>
      <c r="K227" t="inlineStr"/>
      <c r="L227" s="1">
        <f>HYPERLINK("https://www.hi.u-tokyo.ac.jp/collection/degitalgallary/ryukyu/item/30226", "https://www.hi.u-tokyo.ac.jp/collection/degitalgallary/ryukyu/item/30226")</f>
        <v/>
      </c>
    </row>
    <row r="228">
      <c r="A228" t="inlineStr">
        <is>
          <t>30227</t>
        </is>
      </c>
      <c r="B228" t="inlineStr">
        <is>
          <t>船出入なし</t>
        </is>
      </c>
      <c r="C228" t="inlineStr">
        <is>
          <t>港湾</t>
        </is>
      </c>
      <c r="D228" t="inlineStr"/>
      <c r="E228" t="inlineStr"/>
      <c r="F228" t="inlineStr">
        <is>
          <t>正保琉球国八山島絵図</t>
        </is>
      </c>
      <c r="G228" t="inlineStr"/>
      <c r="H228" t="inlineStr"/>
      <c r="I228" t="inlineStr">
        <is>
          <t>172</t>
        </is>
      </c>
      <c r="J228" t="inlineStr"/>
      <c r="K228" t="inlineStr"/>
      <c r="L228" s="1">
        <f>HYPERLINK("https://www.hi.u-tokyo.ac.jp/collection/degitalgallary/ryukyu/item/30227", "https://www.hi.u-tokyo.ac.jp/collection/degitalgallary/ryukyu/item/30227")</f>
        <v/>
      </c>
    </row>
    <row r="229">
      <c r="A229" t="inlineStr">
        <is>
          <t>30228</t>
        </is>
      </c>
      <c r="B229" t="inlineStr">
        <is>
          <t>はへめ崎</t>
        </is>
      </c>
      <c r="C229" t="inlineStr">
        <is>
          <t>崎</t>
        </is>
      </c>
      <c r="D229" t="inlineStr">
        <is>
          <t>24.305343</t>
        </is>
      </c>
      <c r="E229" t="inlineStr">
        <is>
          <t>123.663688</t>
        </is>
      </c>
      <c r="F229" t="inlineStr">
        <is>
          <t>正保琉球国八山島絵図</t>
        </is>
      </c>
      <c r="G229" t="inlineStr"/>
      <c r="H229" t="inlineStr"/>
      <c r="I229" t="inlineStr">
        <is>
          <t>173</t>
        </is>
      </c>
      <c r="J229" t="inlineStr"/>
      <c r="K229" t="inlineStr">
        <is>
          <t>沖縄県八重山郡竹富町崎山</t>
        </is>
      </c>
      <c r="L229" s="1">
        <f>HYPERLINK("https://www.hi.u-tokyo.ac.jp/collection/degitalgallary/ryukyu/item/30228", "https://www.hi.u-tokyo.ac.jp/collection/degitalgallary/ryukyu/item/30228")</f>
        <v/>
      </c>
    </row>
    <row r="230">
      <c r="A230" t="inlineStr">
        <is>
          <t>30229</t>
        </is>
      </c>
      <c r="B230" t="inlineStr">
        <is>
          <t>おら水崎</t>
        </is>
      </c>
      <c r="C230" t="inlineStr">
        <is>
          <t>崎</t>
        </is>
      </c>
      <c r="D230" t="inlineStr">
        <is>
          <t>24.278461</t>
        </is>
      </c>
      <c r="E230" t="inlineStr">
        <is>
          <t>123.718791</t>
        </is>
      </c>
      <c r="F230" t="inlineStr">
        <is>
          <t>正保琉球国八山島絵図</t>
        </is>
      </c>
      <c r="G230" t="inlineStr"/>
      <c r="H230" t="inlineStr"/>
      <c r="I230" t="inlineStr">
        <is>
          <t>174</t>
        </is>
      </c>
      <c r="J230" t="inlineStr"/>
      <c r="K230" t="inlineStr">
        <is>
          <t>沖縄県八重山郡竹富町崎山</t>
        </is>
      </c>
      <c r="L230" s="1">
        <f>HYPERLINK("https://www.hi.u-tokyo.ac.jp/collection/degitalgallary/ryukyu/item/30229", "https://www.hi.u-tokyo.ac.jp/collection/degitalgallary/ryukyu/item/30229")</f>
        <v/>
      </c>
    </row>
    <row r="231">
      <c r="A231" t="inlineStr">
        <is>
          <t>30230</t>
        </is>
      </c>
      <c r="B231" t="inlineStr">
        <is>
          <t>入表嶋之内そなひ村より与那国嶋迄、海上四拾八里酉ノ方ニ当ル、此渡昼夜共潮東ヘ落ル</t>
        </is>
      </c>
      <c r="C231" t="inlineStr">
        <is>
          <t>航路</t>
        </is>
      </c>
      <c r="D231" t="inlineStr"/>
      <c r="E231" t="inlineStr"/>
      <c r="F231" t="inlineStr">
        <is>
          <t>正保琉球国八山島絵図</t>
        </is>
      </c>
      <c r="G231" t="inlineStr"/>
      <c r="H231" t="inlineStr"/>
      <c r="I231" t="inlineStr">
        <is>
          <t>175</t>
        </is>
      </c>
      <c r="J231" t="inlineStr"/>
      <c r="K231" t="inlineStr"/>
      <c r="L231" s="1">
        <f>HYPERLINK("https://www.hi.u-tokyo.ac.jp/collection/degitalgallary/ryukyu/item/30230", "https://www.hi.u-tokyo.ac.jp/collection/degitalgallary/ryukyu/item/30230")</f>
        <v/>
      </c>
    </row>
    <row r="232">
      <c r="A232" t="inlineStr">
        <is>
          <t>30231</t>
        </is>
      </c>
      <c r="B232" t="inlineStr">
        <is>
          <t>与那国嶋</t>
        </is>
      </c>
      <c r="C232" t="inlineStr">
        <is>
          <t>島</t>
        </is>
      </c>
      <c r="D232" t="inlineStr">
        <is>
          <t>24.4560321</t>
        </is>
      </c>
      <c r="E232" t="inlineStr">
        <is>
          <t>122.9944636</t>
        </is>
      </c>
      <c r="F232" t="inlineStr">
        <is>
          <t>正保琉球国八山島絵図</t>
        </is>
      </c>
      <c r="G232" t="inlineStr">
        <is>
          <t>入表嶋之内
嶋廻り五里十町</t>
        </is>
      </c>
      <c r="H232" t="inlineStr"/>
      <c r="I232" t="inlineStr">
        <is>
          <t>176</t>
        </is>
      </c>
      <c r="J232" t="inlineStr"/>
      <c r="K232" t="inlineStr">
        <is>
          <t>沖縄県八重山郡与那国町</t>
        </is>
      </c>
      <c r="L232" s="1">
        <f>HYPERLINK("https://www.hi.u-tokyo.ac.jp/collection/degitalgallary/ryukyu/item/30231", "https://www.hi.u-tokyo.ac.jp/collection/degitalgallary/ryukyu/item/30231")</f>
        <v/>
      </c>
    </row>
    <row r="233">
      <c r="A233" t="inlineStr">
        <is>
          <t>30232</t>
        </is>
      </c>
      <c r="B233" t="inlineStr">
        <is>
          <t>歩渡り</t>
        </is>
      </c>
      <c r="C233" t="inlineStr">
        <is>
          <t>渡河点</t>
        </is>
      </c>
      <c r="D233" t="inlineStr"/>
      <c r="E233" t="inlineStr"/>
      <c r="F233" t="inlineStr">
        <is>
          <t>正保琉球国八山島絵図</t>
        </is>
      </c>
      <c r="G233" t="inlineStr"/>
      <c r="H233" t="inlineStr"/>
      <c r="I233" t="inlineStr">
        <is>
          <t>177</t>
        </is>
      </c>
      <c r="J233" t="inlineStr"/>
      <c r="K233" t="inlineStr"/>
      <c r="L233" s="1">
        <f>HYPERLINK("https://www.hi.u-tokyo.ac.jp/collection/degitalgallary/ryukyu/item/30232", "https://www.hi.u-tokyo.ac.jp/collection/degitalgallary/ryukyu/item/30232")</f>
        <v/>
      </c>
    </row>
    <row r="234">
      <c r="A234" t="inlineStr">
        <is>
          <t>30233</t>
        </is>
      </c>
      <c r="B234" t="inlineStr">
        <is>
          <t>あかみ崎</t>
        </is>
      </c>
      <c r="C234" t="inlineStr">
        <is>
          <t>崎</t>
        </is>
      </c>
      <c r="D234" t="inlineStr">
        <is>
          <t>24.4623149</t>
        </is>
      </c>
      <c r="E234" t="inlineStr">
        <is>
          <t>123.0429482</t>
        </is>
      </c>
      <c r="F234" t="inlineStr">
        <is>
          <t>正保琉球国八山島絵図</t>
        </is>
      </c>
      <c r="G234" t="inlineStr"/>
      <c r="H234" t="inlineStr"/>
      <c r="I234" t="inlineStr">
        <is>
          <t>178</t>
        </is>
      </c>
      <c r="J234" t="inlineStr"/>
      <c r="K234" t="inlineStr">
        <is>
          <t>沖縄県八重山郡与那国町</t>
        </is>
      </c>
      <c r="L234" s="1">
        <f>HYPERLINK("https://www.hi.u-tokyo.ac.jp/collection/degitalgallary/ryukyu/item/30233", "https://www.hi.u-tokyo.ac.jp/collection/degitalgallary/ryukyu/item/30233")</f>
        <v/>
      </c>
    </row>
    <row r="235">
      <c r="A235" t="inlineStr">
        <is>
          <t>30234</t>
        </is>
      </c>
      <c r="B235" t="inlineStr">
        <is>
          <t>あたんはな崎</t>
        </is>
      </c>
      <c r="C235" t="inlineStr">
        <is>
          <t>崎</t>
        </is>
      </c>
      <c r="D235" t="inlineStr">
        <is>
          <t>24.4541475</t>
        </is>
      </c>
      <c r="E235" t="inlineStr">
        <is>
          <t>123.0327281</t>
        </is>
      </c>
      <c r="F235" t="inlineStr">
        <is>
          <t>正保琉球国八山島絵図</t>
        </is>
      </c>
      <c r="G235" t="inlineStr"/>
      <c r="H235" t="inlineStr"/>
      <c r="I235" t="inlineStr">
        <is>
          <t>179</t>
        </is>
      </c>
      <c r="J235" t="inlineStr"/>
      <c r="K235" t="inlineStr">
        <is>
          <t>沖縄県八重山郡与那国町</t>
        </is>
      </c>
      <c r="L235" s="1">
        <f>HYPERLINK("https://www.hi.u-tokyo.ac.jp/collection/degitalgallary/ryukyu/item/30234", "https://www.hi.u-tokyo.ac.jp/collection/degitalgallary/ryukyu/item/30234")</f>
        <v/>
      </c>
    </row>
    <row r="236">
      <c r="A236" t="inlineStr">
        <is>
          <t>30235</t>
        </is>
      </c>
      <c r="B236" t="inlineStr">
        <is>
          <t>大荒川の崎</t>
        </is>
      </c>
      <c r="C236" t="inlineStr">
        <is>
          <t>崎</t>
        </is>
      </c>
      <c r="D236" t="inlineStr"/>
      <c r="E236" t="inlineStr"/>
      <c r="F236" t="inlineStr">
        <is>
          <t>正保琉球国八山島絵図</t>
        </is>
      </c>
      <c r="G236" t="inlineStr"/>
      <c r="H236" t="inlineStr"/>
      <c r="I236" t="inlineStr">
        <is>
          <t>180</t>
        </is>
      </c>
      <c r="J236" t="inlineStr"/>
      <c r="K236" t="inlineStr"/>
      <c r="L236" s="1">
        <f>HYPERLINK("https://www.hi.u-tokyo.ac.jp/collection/degitalgallary/ryukyu/item/30235", "https://www.hi.u-tokyo.ac.jp/collection/degitalgallary/ryukyu/item/30235")</f>
        <v/>
      </c>
    </row>
    <row r="237">
      <c r="A237" t="inlineStr">
        <is>
          <t>30236</t>
        </is>
      </c>
      <c r="B237" t="inlineStr">
        <is>
          <t>もりの崎</t>
        </is>
      </c>
      <c r="C237" t="inlineStr">
        <is>
          <t>崎</t>
        </is>
      </c>
      <c r="D237" t="inlineStr">
        <is>
          <t>24.4390582</t>
        </is>
      </c>
      <c r="E237" t="inlineStr">
        <is>
          <t>122.9788191</t>
        </is>
      </c>
      <c r="F237" t="inlineStr">
        <is>
          <t>正保琉球国八山島絵図</t>
        </is>
      </c>
      <c r="G237" t="inlineStr"/>
      <c r="H237" t="inlineStr"/>
      <c r="I237" t="inlineStr">
        <is>
          <t>181</t>
        </is>
      </c>
      <c r="J237" t="inlineStr"/>
      <c r="K237" t="inlineStr">
        <is>
          <t>沖縄県八重山郡与那国町</t>
        </is>
      </c>
      <c r="L237" s="1">
        <f>HYPERLINK("https://www.hi.u-tokyo.ac.jp/collection/degitalgallary/ryukyu/item/30236", "https://www.hi.u-tokyo.ac.jp/collection/degitalgallary/ryukyu/item/30236")</f>
        <v/>
      </c>
    </row>
    <row r="238">
      <c r="A238" t="inlineStr">
        <is>
          <t>30237</t>
        </is>
      </c>
      <c r="B238" t="inlineStr">
        <is>
          <t>いれ之崎</t>
        </is>
      </c>
      <c r="C238" t="inlineStr">
        <is>
          <t>崎</t>
        </is>
      </c>
      <c r="D238" t="inlineStr">
        <is>
          <t>24.4500009</t>
        </is>
      </c>
      <c r="E238" t="inlineStr">
        <is>
          <t>122.9342772</t>
        </is>
      </c>
      <c r="F238" t="inlineStr">
        <is>
          <t>正保琉球国八山島絵図</t>
        </is>
      </c>
      <c r="G238" t="inlineStr"/>
      <c r="H238" t="inlineStr"/>
      <c r="I238" t="inlineStr">
        <is>
          <t>182</t>
        </is>
      </c>
      <c r="J238" t="inlineStr"/>
      <c r="K238" t="inlineStr">
        <is>
          <t>沖縄県八重山郡与那国町</t>
        </is>
      </c>
      <c r="L238" s="1">
        <f>HYPERLINK("https://www.hi.u-tokyo.ac.jp/collection/degitalgallary/ryukyu/item/30237", "https://www.hi.u-tokyo.ac.jp/collection/degitalgallary/ryukyu/item/30237")</f>
        <v/>
      </c>
    </row>
    <row r="239">
      <c r="A239" t="inlineStr">
        <is>
          <t>30238</t>
        </is>
      </c>
      <c r="B239" t="inlineStr">
        <is>
          <t>ひら崎</t>
        </is>
      </c>
      <c r="C239" t="inlineStr">
        <is>
          <t>崎</t>
        </is>
      </c>
      <c r="D239" t="inlineStr">
        <is>
          <t>24.4555745</t>
        </is>
      </c>
      <c r="E239" t="inlineStr">
        <is>
          <t>122.9416405</t>
        </is>
      </c>
      <c r="F239" t="inlineStr">
        <is>
          <t>正保琉球国八山島絵図</t>
        </is>
      </c>
      <c r="G239" t="inlineStr"/>
      <c r="H239" t="inlineStr"/>
      <c r="I239" t="inlineStr">
        <is>
          <t>183</t>
        </is>
      </c>
      <c r="J239" t="inlineStr"/>
      <c r="K239" t="inlineStr">
        <is>
          <t>沖縄県八重山郡与那国町</t>
        </is>
      </c>
      <c r="L239" s="1">
        <f>HYPERLINK("https://www.hi.u-tokyo.ac.jp/collection/degitalgallary/ryukyu/item/30238", "https://www.hi.u-tokyo.ac.jp/collection/degitalgallary/ryukyu/item/30238")</f>
        <v/>
      </c>
    </row>
    <row r="240">
      <c r="A240" t="inlineStr">
        <is>
          <t>30239</t>
        </is>
      </c>
      <c r="B240" t="inlineStr">
        <is>
          <t>とも崎</t>
        </is>
      </c>
      <c r="C240" t="inlineStr">
        <is>
          <t>崎</t>
        </is>
      </c>
      <c r="D240" t="inlineStr">
        <is>
          <t>24.4719759</t>
        </is>
      </c>
      <c r="E240" t="inlineStr">
        <is>
          <t>122.9628038</t>
        </is>
      </c>
      <c r="F240" t="inlineStr">
        <is>
          <t>正保琉球国八山島絵図</t>
        </is>
      </c>
      <c r="G240" t="inlineStr"/>
      <c r="H240" t="inlineStr"/>
      <c r="I240" t="inlineStr">
        <is>
          <t>184</t>
        </is>
      </c>
      <c r="J240" t="inlineStr"/>
      <c r="K240" t="inlineStr">
        <is>
          <t>沖縄県八重山郡与那国町</t>
        </is>
      </c>
      <c r="L240" s="1">
        <f>HYPERLINK("https://www.hi.u-tokyo.ac.jp/collection/degitalgallary/ryukyu/item/30239", "https://www.hi.u-tokyo.ac.jp/collection/degitalgallary/ryukyu/item/30239")</f>
        <v/>
      </c>
    </row>
    <row r="241">
      <c r="A241" t="inlineStr">
        <is>
          <t>30240</t>
        </is>
      </c>
      <c r="B241" t="inlineStr">
        <is>
          <t>としろ崎</t>
        </is>
      </c>
      <c r="C241" t="inlineStr">
        <is>
          <t>崎</t>
        </is>
      </c>
      <c r="D241" t="inlineStr">
        <is>
          <t>24.4683455</t>
        </is>
      </c>
      <c r="E241" t="inlineStr">
        <is>
          <t>122.976906</t>
        </is>
      </c>
      <c r="F241" t="inlineStr">
        <is>
          <t>正保琉球国八山島絵図</t>
        </is>
      </c>
      <c r="G241" t="inlineStr"/>
      <c r="H241" t="inlineStr"/>
      <c r="I241" t="inlineStr">
        <is>
          <t>185</t>
        </is>
      </c>
      <c r="J241" t="inlineStr"/>
      <c r="K241" t="inlineStr">
        <is>
          <t>沖縄県八重山郡与那国町</t>
        </is>
      </c>
      <c r="L241" s="1">
        <f>HYPERLINK("https://www.hi.u-tokyo.ac.jp/collection/degitalgallary/ryukyu/item/30240", "https://www.hi.u-tokyo.ac.jp/collection/degitalgallary/ryukyu/item/30240")</f>
        <v/>
      </c>
    </row>
    <row r="242">
      <c r="A242" t="inlineStr">
        <is>
          <t>30241</t>
        </is>
      </c>
      <c r="B242" t="inlineStr">
        <is>
          <t>あへ崎</t>
        </is>
      </c>
      <c r="C242" t="inlineStr">
        <is>
          <t>崎</t>
        </is>
      </c>
      <c r="D242" t="inlineStr">
        <is>
          <t>24.4729356</t>
        </is>
      </c>
      <c r="E242" t="inlineStr">
        <is>
          <t>122.9950806</t>
        </is>
      </c>
      <c r="F242" t="inlineStr">
        <is>
          <t>正保琉球国八山島絵図</t>
        </is>
      </c>
      <c r="G242" t="inlineStr"/>
      <c r="H242" t="inlineStr"/>
      <c r="I242" t="inlineStr">
        <is>
          <t>186</t>
        </is>
      </c>
      <c r="J242" t="inlineStr"/>
      <c r="K242" t="inlineStr">
        <is>
          <t>沖縄県八重山郡与那国町</t>
        </is>
      </c>
      <c r="L242" s="1">
        <f>HYPERLINK("https://www.hi.u-tokyo.ac.jp/collection/degitalgallary/ryukyu/item/30241", "https://www.hi.u-tokyo.ac.jp/collection/degitalgallary/ryukyu/item/30241")</f>
        <v/>
      </c>
    </row>
    <row r="243">
      <c r="A243" t="inlineStr">
        <is>
          <t>30242</t>
        </is>
      </c>
      <c r="B243" t="inlineStr">
        <is>
          <t>船繋不成</t>
        </is>
      </c>
      <c r="C243" t="inlineStr">
        <is>
          <t>港湾</t>
        </is>
      </c>
      <c r="D243" t="inlineStr"/>
      <c r="E243" t="inlineStr"/>
      <c r="F243" t="inlineStr">
        <is>
          <t>正保琉球国八山島絵図</t>
        </is>
      </c>
      <c r="G243" t="inlineStr"/>
      <c r="H243" t="inlineStr"/>
      <c r="I243" t="inlineStr">
        <is>
          <t>187</t>
        </is>
      </c>
      <c r="J243" t="inlineStr"/>
      <c r="K243" t="inlineStr"/>
      <c r="L243" s="1">
        <f>HYPERLINK("https://www.hi.u-tokyo.ac.jp/collection/degitalgallary/ryukyu/item/30242", "https://www.hi.u-tokyo.ac.jp/collection/degitalgallary/ryukyu/item/30242")</f>
        <v/>
      </c>
    </row>
    <row r="244">
      <c r="A244" t="inlineStr">
        <is>
          <t>30243</t>
        </is>
      </c>
      <c r="B244" t="inlineStr">
        <is>
          <t>大石崎</t>
        </is>
      </c>
      <c r="C244" t="inlineStr">
        <is>
          <t>崎</t>
        </is>
      </c>
      <c r="D244" t="inlineStr">
        <is>
          <t>24.4741076</t>
        </is>
      </c>
      <c r="E244" t="inlineStr">
        <is>
          <t>123.0058629</t>
        </is>
      </c>
      <c r="F244" t="inlineStr">
        <is>
          <t>正保琉球国八山島絵図</t>
        </is>
      </c>
      <c r="G244" t="inlineStr"/>
      <c r="H244" t="inlineStr"/>
      <c r="I244" t="inlineStr">
        <is>
          <t>188</t>
        </is>
      </c>
      <c r="J244" t="inlineStr"/>
      <c r="K244" t="inlineStr">
        <is>
          <t>沖縄県八重山郡与那国町</t>
        </is>
      </c>
      <c r="L244" s="1">
        <f>HYPERLINK("https://www.hi.u-tokyo.ac.jp/collection/degitalgallary/ryukyu/item/30243", "https://www.hi.u-tokyo.ac.jp/collection/degitalgallary/ryukyu/item/30243")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2021-12-02T05:58:56Z</dcterms:created>
  <dcterms:modified xmlns:dcterms="http://purl.org/dc/terms/" xmlns:xsi="http://www.w3.org/2001/XMLSchema-instance" xsi:type="dcterms:W3CDTF">2021-12-02T05:58:56Z</dcterms:modified>
</cp:coreProperties>
</file>