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color rgb="000563C1"/>
      <u val="single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261"/>
  <sheetViews>
    <sheetView workbookViewId="0">
      <selection activeCell="A1" sqref="A1"/>
    </sheetView>
  </sheetViews>
  <sheetFormatPr baseColWidth="8" defaultRowHeight="15"/>
  <sheetData>
    <row r="1">
      <c r="A1" t="inlineStr">
        <is>
          <t>entry_id</t>
        </is>
      </c>
      <c r="B1" t="inlineStr">
        <is>
          <t>body</t>
        </is>
      </c>
      <c r="C1" t="inlineStr">
        <is>
          <t>ne_class</t>
        </is>
      </c>
      <c r="D1" t="inlineStr">
        <is>
          <t>latitude</t>
        </is>
      </c>
      <c r="E1" t="inlineStr">
        <is>
          <t>longitude</t>
        </is>
      </c>
      <c r="F1" t="inlineStr">
        <is>
          <t>description</t>
        </is>
      </c>
      <c r="G1" t="inlineStr">
        <is>
          <t>説明文</t>
        </is>
      </c>
      <c r="H1" t="inlineStr">
        <is>
          <t>備考</t>
        </is>
      </c>
      <c r="I1" t="inlineStr">
        <is>
          <t>沖縄県教育委員会編『琉球国絵図史料集』第１集の番号</t>
        </is>
      </c>
      <c r="J1" t="inlineStr">
        <is>
          <t>ジャパンナレッジID</t>
        </is>
      </c>
      <c r="K1" t="inlineStr">
        <is>
          <t>現在の地名</t>
        </is>
      </c>
      <c r="L1" t="inlineStr">
        <is>
          <t>source</t>
        </is>
      </c>
    </row>
    <row r="2">
      <c r="A2" t="inlineStr">
        <is>
          <t>20001</t>
        </is>
      </c>
      <c r="B2" t="inlineStr">
        <is>
          <t xml:space="preserve">　松平薩摩守
琉球国
高六万弐千百九拾九石　悪鬼納嶋
高弐百三石　計羅摩嶋
高四拾五石壱斗　戸無嶋
高三千六百七拾七石七斗　久米嶋
高七百弐拾七石四斗　粟嶋
高三千六百四拾三石　伊恵嶋
高七百五拾石弐斗　伊是名嶋
高五百四拾壱石六斗　恵平屋嶋
都合高七万千七百八拾七石</t>
        </is>
      </c>
      <c r="C2" t="inlineStr">
        <is>
          <t>畾紙</t>
        </is>
      </c>
      <c r="D2" t="inlineStr"/>
      <c r="E2" t="inlineStr"/>
      <c r="F2" t="inlineStr">
        <is>
          <t>正保琉球国悪鬼納島絵図写</t>
        </is>
      </c>
      <c r="G2" t="inlineStr"/>
      <c r="H2" t="inlineStr"/>
      <c r="I2" t="inlineStr"/>
      <c r="J2" t="inlineStr"/>
      <c r="K2" t="inlineStr"/>
      <c r="L2" s="1">
        <f>HYPERLINK("https://www.hi.u-tokyo.ac.jp/collection/degitalgallary/ryukyu/item/20001", "https://www.hi.u-tokyo.ac.jp/collection/degitalgallary/ryukyu/item/20001")</f>
        <v/>
      </c>
    </row>
    <row r="3">
      <c r="A3" t="inlineStr">
        <is>
          <t>20002</t>
        </is>
      </c>
      <c r="B3" t="inlineStr">
        <is>
          <t>東</t>
        </is>
      </c>
      <c r="C3" t="inlineStr">
        <is>
          <t>方位</t>
        </is>
      </c>
      <c r="D3" t="inlineStr"/>
      <c r="E3" t="inlineStr"/>
      <c r="F3" t="inlineStr">
        <is>
          <t>正保琉球国悪鬼納島絵図写</t>
        </is>
      </c>
      <c r="G3" t="inlineStr"/>
      <c r="H3" t="inlineStr"/>
      <c r="I3" t="inlineStr"/>
      <c r="J3" t="inlineStr">
        <is>
          <t>30020480000094900</t>
        </is>
      </c>
      <c r="K3" t="inlineStr"/>
      <c r="L3" s="1">
        <f>HYPERLINK("https://www.hi.u-tokyo.ac.jp/collection/degitalgallary/ryukyu/item/20002", "https://www.hi.u-tokyo.ac.jp/collection/degitalgallary/ryukyu/item/20002")</f>
        <v/>
      </c>
    </row>
    <row r="4">
      <c r="A4" t="inlineStr">
        <is>
          <t>20003</t>
        </is>
      </c>
      <c r="B4" t="inlineStr">
        <is>
          <t>南</t>
        </is>
      </c>
      <c r="C4" t="inlineStr">
        <is>
          <t>方位</t>
        </is>
      </c>
      <c r="D4" t="inlineStr"/>
      <c r="E4" t="inlineStr"/>
      <c r="F4" t="inlineStr">
        <is>
          <t>正保琉球国悪鬼納島絵図写</t>
        </is>
      </c>
      <c r="G4" t="inlineStr"/>
      <c r="H4" t="inlineStr"/>
      <c r="I4" t="inlineStr"/>
      <c r="J4" t="inlineStr"/>
      <c r="K4" t="inlineStr"/>
      <c r="L4" s="1">
        <f>HYPERLINK("https://www.hi.u-tokyo.ac.jp/collection/degitalgallary/ryukyu/item/20003", "https://www.hi.u-tokyo.ac.jp/collection/degitalgallary/ryukyu/item/20003")</f>
        <v/>
      </c>
    </row>
    <row r="5">
      <c r="A5" t="inlineStr">
        <is>
          <t>20004</t>
        </is>
      </c>
      <c r="B5" t="inlineStr">
        <is>
          <t>北</t>
        </is>
      </c>
      <c r="C5" t="inlineStr">
        <is>
          <t>方位</t>
        </is>
      </c>
      <c r="D5" t="inlineStr"/>
      <c r="E5" t="inlineStr"/>
      <c r="F5" t="inlineStr">
        <is>
          <t>正保琉球国悪鬼納島絵図写</t>
        </is>
      </c>
      <c r="G5" t="inlineStr"/>
      <c r="H5" t="inlineStr"/>
      <c r="I5" t="inlineStr"/>
      <c r="J5" t="inlineStr"/>
      <c r="K5" t="inlineStr"/>
      <c r="L5" s="1">
        <f>HYPERLINK("https://www.hi.u-tokyo.ac.jp/collection/degitalgallary/ryukyu/item/20004", "https://www.hi.u-tokyo.ac.jp/collection/degitalgallary/ryukyu/item/20004")</f>
        <v/>
      </c>
    </row>
    <row r="6">
      <c r="A6" t="inlineStr">
        <is>
          <t>20005</t>
        </is>
      </c>
      <c r="B6" t="inlineStr">
        <is>
          <t>西</t>
        </is>
      </c>
      <c r="C6" t="inlineStr">
        <is>
          <t>方位</t>
        </is>
      </c>
      <c r="D6" t="inlineStr"/>
      <c r="E6" t="inlineStr"/>
      <c r="F6" t="inlineStr">
        <is>
          <t>正保琉球国悪鬼納島絵図写</t>
        </is>
      </c>
      <c r="G6" t="inlineStr"/>
      <c r="H6" t="inlineStr"/>
      <c r="I6" t="inlineStr"/>
      <c r="J6" t="inlineStr"/>
      <c r="K6" t="inlineStr"/>
      <c r="L6" s="1">
        <f>HYPERLINK("https://www.hi.u-tokyo.ac.jp/collection/degitalgallary/ryukyu/item/20005", "https://www.hi.u-tokyo.ac.jp/collection/degitalgallary/ryukyu/item/20005")</f>
        <v/>
      </c>
    </row>
    <row r="7">
      <c r="A7" t="inlineStr">
        <is>
          <t>20006</t>
        </is>
      </c>
      <c r="B7" t="inlineStr">
        <is>
          <t>首里
王城</t>
        </is>
      </c>
      <c r="C7" t="inlineStr">
        <is>
          <t>都市</t>
        </is>
      </c>
      <c r="D7" t="inlineStr">
        <is>
          <t>26.2171335</t>
        </is>
      </c>
      <c r="E7" t="inlineStr">
        <is>
          <t>127.7194486</t>
        </is>
      </c>
      <c r="F7" t="inlineStr">
        <is>
          <t>正保琉球国悪鬼納島絵図写</t>
        </is>
      </c>
      <c r="G7" t="inlineStr"/>
      <c r="H7" t="inlineStr"/>
      <c r="I7" t="inlineStr">
        <is>
          <t>［1］</t>
        </is>
      </c>
      <c r="J7" t="inlineStr"/>
      <c r="K7" t="inlineStr">
        <is>
          <t>沖縄県那覇市首里当蔵町</t>
        </is>
      </c>
      <c r="L7" s="1">
        <f>HYPERLINK("https://www.hi.u-tokyo.ac.jp/collection/degitalgallary/ryukyu/item/20006", "https://www.hi.u-tokyo.ac.jp/collection/degitalgallary/ryukyu/item/20006")</f>
        <v/>
      </c>
    </row>
    <row r="8">
      <c r="A8" t="inlineStr">
        <is>
          <t>20007</t>
        </is>
      </c>
      <c r="B8" t="inlineStr">
        <is>
          <t>南風原間切</t>
        </is>
      </c>
      <c r="C8" t="inlineStr">
        <is>
          <t>間切</t>
        </is>
      </c>
      <c r="D8" t="inlineStr">
        <is>
          <t>26.1980955</t>
        </is>
      </c>
      <c r="E8" t="inlineStr">
        <is>
          <t>127.6985129</t>
        </is>
      </c>
      <c r="F8" t="inlineStr">
        <is>
          <t>正保琉球国悪鬼納島絵図写</t>
        </is>
      </c>
      <c r="G8" t="inlineStr">
        <is>
          <t>千三百七十五石余</t>
        </is>
      </c>
      <c r="H8" t="inlineStr"/>
      <c r="I8" t="inlineStr">
        <is>
          <t>〔2〕</t>
        </is>
      </c>
      <c r="J8" t="inlineStr">
        <is>
          <t>30020480000052300</t>
        </is>
      </c>
      <c r="K8" t="inlineStr">
        <is>
          <t>沖縄県那覇市国場</t>
        </is>
      </c>
      <c r="L8" s="1">
        <f>HYPERLINK("https://www.hi.u-tokyo.ac.jp/collection/degitalgallary/ryukyu/item/20007", "https://www.hi.u-tokyo.ac.jp/collection/degitalgallary/ryukyu/item/20007")</f>
        <v/>
      </c>
    </row>
    <row r="9">
      <c r="A9" t="inlineStr">
        <is>
          <t>20008</t>
        </is>
      </c>
      <c r="B9" t="inlineStr">
        <is>
          <t>嶋添大里間切</t>
        </is>
      </c>
      <c r="C9" t="inlineStr">
        <is>
          <t>間切</t>
        </is>
      </c>
      <c r="D9" t="inlineStr"/>
      <c r="E9" t="inlineStr"/>
      <c r="F9" t="inlineStr">
        <is>
          <t>正保琉球国悪鬼納島絵図写</t>
        </is>
      </c>
      <c r="G9" t="inlineStr">
        <is>
          <t>三千廿九石余</t>
        </is>
      </c>
      <c r="H9" t="inlineStr"/>
      <c r="I9" t="inlineStr">
        <is>
          <t>〔3〕</t>
        </is>
      </c>
      <c r="J9" t="inlineStr"/>
      <c r="K9" t="inlineStr"/>
      <c r="L9" s="1">
        <f>HYPERLINK("https://www.hi.u-tokyo.ac.jp/collection/degitalgallary/ryukyu/item/20008", "https://www.hi.u-tokyo.ac.jp/collection/degitalgallary/ryukyu/item/20008")</f>
        <v/>
      </c>
    </row>
    <row r="10">
      <c r="A10" t="inlineStr">
        <is>
          <t>20009</t>
        </is>
      </c>
      <c r="B10" t="inlineStr">
        <is>
          <t>佐敷間切</t>
        </is>
      </c>
      <c r="C10" t="inlineStr">
        <is>
          <t>間切</t>
        </is>
      </c>
      <c r="D10" t="inlineStr">
        <is>
          <t>26.1744432</t>
        </is>
      </c>
      <c r="E10" t="inlineStr">
        <is>
          <t>127.771594</t>
        </is>
      </c>
      <c r="F10" t="inlineStr">
        <is>
          <t>正保琉球国悪鬼納島絵図写</t>
        </is>
      </c>
      <c r="G10" t="inlineStr">
        <is>
          <t>九百廿八石余</t>
        </is>
      </c>
      <c r="H10" t="inlineStr"/>
      <c r="I10" t="inlineStr">
        <is>
          <t>〔4〕</t>
        </is>
      </c>
      <c r="J10" t="inlineStr">
        <is>
          <t>30020480000061500</t>
        </is>
      </c>
      <c r="K10" t="inlineStr">
        <is>
          <t>沖縄県南城市佐敷新里</t>
        </is>
      </c>
      <c r="L10" s="1">
        <f>HYPERLINK("https://www.hi.u-tokyo.ac.jp/collection/degitalgallary/ryukyu/item/20009", "https://www.hi.u-tokyo.ac.jp/collection/degitalgallary/ryukyu/item/20009")</f>
        <v/>
      </c>
    </row>
    <row r="11">
      <c r="A11" t="inlineStr">
        <is>
          <t>20010</t>
        </is>
      </c>
      <c r="B11" t="inlineStr">
        <is>
          <t>知念間切</t>
        </is>
      </c>
      <c r="C11" t="inlineStr">
        <is>
          <t>間切</t>
        </is>
      </c>
      <c r="D11" t="inlineStr">
        <is>
          <t>26.1630995</t>
        </is>
      </c>
      <c r="E11" t="inlineStr">
        <is>
          <t>127.8167329</t>
        </is>
      </c>
      <c r="F11" t="inlineStr">
        <is>
          <t>正保琉球国悪鬼納島絵図写</t>
        </is>
      </c>
      <c r="G11" t="inlineStr">
        <is>
          <t>八百九十八石余</t>
        </is>
      </c>
      <c r="H11" t="inlineStr"/>
      <c r="I11" t="inlineStr">
        <is>
          <t>〔5〕</t>
        </is>
      </c>
      <c r="J11" t="inlineStr">
        <is>
          <t>30020480000063400</t>
        </is>
      </c>
      <c r="K11" t="inlineStr">
        <is>
          <t>沖縄県南城市知念知念</t>
        </is>
      </c>
      <c r="L11" s="1">
        <f>HYPERLINK("https://www.hi.u-tokyo.ac.jp/collection/degitalgallary/ryukyu/item/20010", "https://www.hi.u-tokyo.ac.jp/collection/degitalgallary/ryukyu/item/20010")</f>
        <v/>
      </c>
    </row>
    <row r="12">
      <c r="A12" t="inlineStr">
        <is>
          <t>20011</t>
        </is>
      </c>
      <c r="B12" t="inlineStr">
        <is>
          <t>玉城間切</t>
        </is>
      </c>
      <c r="C12" t="inlineStr">
        <is>
          <t>間切</t>
        </is>
      </c>
      <c r="D12" t="inlineStr">
        <is>
          <t>26.1442917</t>
        </is>
      </c>
      <c r="E12" t="inlineStr">
        <is>
          <t>127.771594</t>
        </is>
      </c>
      <c r="F12" t="inlineStr">
        <is>
          <t>正保琉球国悪鬼納島絵図写</t>
        </is>
      </c>
      <c r="G12" t="inlineStr">
        <is>
          <t>千三百六十九石余</t>
        </is>
      </c>
      <c r="H12" t="inlineStr"/>
      <c r="I12" t="inlineStr">
        <is>
          <t>〔6〕</t>
        </is>
      </c>
      <c r="J12" t="inlineStr">
        <is>
          <t>30020480000066200</t>
        </is>
      </c>
      <c r="K12" t="inlineStr">
        <is>
          <t>沖縄県南城市玉城富里</t>
        </is>
      </c>
      <c r="L12" s="1">
        <f>HYPERLINK("https://www.hi.u-tokyo.ac.jp/collection/degitalgallary/ryukyu/item/20011", "https://www.hi.u-tokyo.ac.jp/collection/degitalgallary/ryukyu/item/20011")</f>
        <v/>
      </c>
    </row>
    <row r="13">
      <c r="A13" t="inlineStr">
        <is>
          <t>20012</t>
        </is>
      </c>
      <c r="B13" t="inlineStr">
        <is>
          <t>東風平間切</t>
        </is>
      </c>
      <c r="C13" t="inlineStr">
        <is>
          <t>間切</t>
        </is>
      </c>
      <c r="D13" t="inlineStr">
        <is>
          <t>26.176111</t>
        </is>
      </c>
      <c r="E13" t="inlineStr">
        <is>
          <t>127.7225</t>
        </is>
      </c>
      <c r="F13" t="inlineStr">
        <is>
          <t>正保琉球国悪鬼納島絵図写</t>
        </is>
      </c>
      <c r="G13" t="inlineStr">
        <is>
          <t>千五百八十四石余</t>
        </is>
      </c>
      <c r="H13" t="inlineStr"/>
      <c r="I13" t="inlineStr">
        <is>
          <t>〔7〕</t>
        </is>
      </c>
      <c r="J13" t="inlineStr">
        <is>
          <t>30020480000054400</t>
        </is>
      </c>
      <c r="K13" t="inlineStr"/>
      <c r="L13" s="1">
        <f>HYPERLINK("https://www.hi.u-tokyo.ac.jp/collection/degitalgallary/ryukyu/item/20012", "https://www.hi.u-tokyo.ac.jp/collection/degitalgallary/ryukyu/item/20012")</f>
        <v/>
      </c>
    </row>
    <row r="14">
      <c r="A14" t="inlineStr">
        <is>
          <t>20013</t>
        </is>
      </c>
      <c r="B14" t="inlineStr">
        <is>
          <t>具志上間切</t>
        </is>
      </c>
      <c r="C14" t="inlineStr">
        <is>
          <t>間切</t>
        </is>
      </c>
      <c r="D14" t="inlineStr"/>
      <c r="E14" t="inlineStr"/>
      <c r="F14" t="inlineStr">
        <is>
          <t>正保琉球国悪鬼納島絵図写</t>
        </is>
      </c>
      <c r="G14" t="inlineStr">
        <is>
          <t>八百廿九石余</t>
        </is>
      </c>
      <c r="H14" t="inlineStr"/>
      <c r="I14" t="inlineStr">
        <is>
          <t>〔8〕</t>
        </is>
      </c>
      <c r="J14" t="inlineStr"/>
      <c r="K14" t="inlineStr"/>
      <c r="L14" s="1">
        <f>HYPERLINK("https://www.hi.u-tokyo.ac.jp/collection/degitalgallary/ryukyu/item/20013", "https://www.hi.u-tokyo.ac.jp/collection/degitalgallary/ryukyu/item/20013")</f>
        <v/>
      </c>
    </row>
    <row r="15">
      <c r="A15" t="inlineStr">
        <is>
          <t>20014</t>
        </is>
      </c>
      <c r="B15" t="inlineStr">
        <is>
          <t>嶋尻大里間切</t>
        </is>
      </c>
      <c r="C15" t="inlineStr">
        <is>
          <t>間切</t>
        </is>
      </c>
      <c r="D15" t="inlineStr">
        <is>
          <t>26.1236704</t>
        </is>
      </c>
      <c r="E15" t="inlineStr">
        <is>
          <t>127.6657634</t>
        </is>
      </c>
      <c r="F15" t="inlineStr">
        <is>
          <t>正保琉球国悪鬼納島絵図写</t>
        </is>
      </c>
      <c r="G15" t="inlineStr">
        <is>
          <t>千八百卅弐石余</t>
        </is>
      </c>
      <c r="H15" t="inlineStr"/>
      <c r="I15" t="inlineStr">
        <is>
          <t>〔9〕</t>
        </is>
      </c>
      <c r="J15" t="inlineStr"/>
      <c r="K15" t="inlineStr">
        <is>
          <t>沖縄県糸満市潮崎町</t>
        </is>
      </c>
      <c r="L15" s="1">
        <f>HYPERLINK("https://www.hi.u-tokyo.ac.jp/collection/degitalgallary/ryukyu/item/20014", "https://www.hi.u-tokyo.ac.jp/collection/degitalgallary/ryukyu/item/20014")</f>
        <v/>
      </c>
    </row>
    <row r="16">
      <c r="A16" t="inlineStr">
        <is>
          <t>20015</t>
        </is>
      </c>
      <c r="B16" t="inlineStr">
        <is>
          <t>真加比間切</t>
        </is>
      </c>
      <c r="C16" t="inlineStr">
        <is>
          <t>間切</t>
        </is>
      </c>
      <c r="D16" t="inlineStr">
        <is>
          <t>26.1236704</t>
        </is>
      </c>
      <c r="E16" t="inlineStr">
        <is>
          <t>127.6657634</t>
        </is>
      </c>
      <c r="F16" t="inlineStr">
        <is>
          <t>正保琉球国悪鬼納島絵図写</t>
        </is>
      </c>
      <c r="G16" t="inlineStr">
        <is>
          <t>八百五拾五石余</t>
        </is>
      </c>
      <c r="H16" t="inlineStr">
        <is>
          <t>番号入替</t>
        </is>
      </c>
      <c r="I16" t="inlineStr">
        <is>
          <t>〔10〕</t>
        </is>
      </c>
      <c r="J16" t="inlineStr"/>
      <c r="K16" t="inlineStr">
        <is>
          <t>沖縄県糸満市潮崎町</t>
        </is>
      </c>
      <c r="L16" s="1">
        <f>HYPERLINK("https://www.hi.u-tokyo.ac.jp/collection/degitalgallary/ryukyu/item/20015", "https://www.hi.u-tokyo.ac.jp/collection/degitalgallary/ryukyu/item/20015")</f>
        <v/>
      </c>
    </row>
    <row r="17">
      <c r="A17" t="inlineStr">
        <is>
          <t>20016</t>
        </is>
      </c>
      <c r="B17" t="inlineStr">
        <is>
          <t>摩文仁間切</t>
        </is>
      </c>
      <c r="C17" t="inlineStr">
        <is>
          <t>間切</t>
        </is>
      </c>
      <c r="D17" t="inlineStr">
        <is>
          <t>26.1236704</t>
        </is>
      </c>
      <c r="E17" t="inlineStr">
        <is>
          <t>127.6657634</t>
        </is>
      </c>
      <c r="F17" t="inlineStr">
        <is>
          <t>正保琉球国悪鬼納島絵図写</t>
        </is>
      </c>
      <c r="G17" t="inlineStr">
        <is>
          <t>五百八十三石余</t>
        </is>
      </c>
      <c r="H17" t="inlineStr"/>
      <c r="I17" t="inlineStr">
        <is>
          <t>〔11〕</t>
        </is>
      </c>
      <c r="J17" t="inlineStr">
        <is>
          <t>30020480000046200</t>
        </is>
      </c>
      <c r="K17" t="inlineStr">
        <is>
          <t>沖縄県糸満市潮崎町</t>
        </is>
      </c>
      <c r="L17" s="1">
        <f>HYPERLINK("https://www.hi.u-tokyo.ac.jp/collection/degitalgallary/ryukyu/item/20016", "https://www.hi.u-tokyo.ac.jp/collection/degitalgallary/ryukyu/item/20016")</f>
        <v/>
      </c>
    </row>
    <row r="18">
      <c r="A18" t="inlineStr">
        <is>
          <t>20017</t>
        </is>
      </c>
      <c r="B18" t="inlineStr">
        <is>
          <t>喜屋武間切</t>
        </is>
      </c>
      <c r="C18" t="inlineStr">
        <is>
          <t>間切</t>
        </is>
      </c>
      <c r="D18" t="inlineStr">
        <is>
          <t>26.1236704</t>
        </is>
      </c>
      <c r="E18" t="inlineStr">
        <is>
          <t>127.6657634</t>
        </is>
      </c>
      <c r="F18" t="inlineStr">
        <is>
          <t>正保琉球国悪鬼納島絵図写</t>
        </is>
      </c>
      <c r="G18" t="inlineStr">
        <is>
          <t>五百六拾五石余</t>
        </is>
      </c>
      <c r="H18" t="inlineStr"/>
      <c r="I18" t="inlineStr">
        <is>
          <t>〔12〕</t>
        </is>
      </c>
      <c r="J18" t="inlineStr">
        <is>
          <t>30020480000046300</t>
        </is>
      </c>
      <c r="K18" t="inlineStr">
        <is>
          <t>沖縄県糸満市潮崎町</t>
        </is>
      </c>
      <c r="L18" s="1">
        <f>HYPERLINK("https://www.hi.u-tokyo.ac.jp/collection/degitalgallary/ryukyu/item/20017", "https://www.hi.u-tokyo.ac.jp/collection/degitalgallary/ryukyu/item/20017")</f>
        <v/>
      </c>
    </row>
    <row r="19">
      <c r="A19" t="inlineStr">
        <is>
          <t>20018</t>
        </is>
      </c>
      <c r="B19" t="inlineStr">
        <is>
          <t>兼城間切</t>
        </is>
      </c>
      <c r="C19" t="inlineStr">
        <is>
          <t>間切</t>
        </is>
      </c>
      <c r="D19" t="inlineStr">
        <is>
          <t>26.1236704</t>
        </is>
      </c>
      <c r="E19" t="inlineStr">
        <is>
          <t>127.6657634</t>
        </is>
      </c>
      <c r="F19" t="inlineStr">
        <is>
          <t>正保琉球国悪鬼納島絵図写</t>
        </is>
      </c>
      <c r="G19" t="inlineStr">
        <is>
          <t>九百七拾石余</t>
        </is>
      </c>
      <c r="H19" t="inlineStr"/>
      <c r="I19" t="inlineStr">
        <is>
          <t>〔13〕</t>
        </is>
      </c>
      <c r="J19" t="inlineStr">
        <is>
          <t>30020480000045900</t>
        </is>
      </c>
      <c r="K19" t="inlineStr">
        <is>
          <t>沖縄県糸満市潮崎町</t>
        </is>
      </c>
      <c r="L19" s="1">
        <f>HYPERLINK("https://www.hi.u-tokyo.ac.jp/collection/degitalgallary/ryukyu/item/20018", "https://www.hi.u-tokyo.ac.jp/collection/degitalgallary/ryukyu/item/20018")</f>
        <v/>
      </c>
    </row>
    <row r="20">
      <c r="A20" t="inlineStr">
        <is>
          <t>20019</t>
        </is>
      </c>
      <c r="B20" t="inlineStr">
        <is>
          <t>豊見城間切</t>
        </is>
      </c>
      <c r="C20" t="inlineStr">
        <is>
          <t>間切</t>
        </is>
      </c>
      <c r="D20" t="inlineStr">
        <is>
          <t>26.1610648</t>
        </is>
      </c>
      <c r="E20" t="inlineStr">
        <is>
          <t>127.6689865</t>
        </is>
      </c>
      <c r="F20" t="inlineStr">
        <is>
          <t>正保琉球国悪鬼納島絵図写</t>
        </is>
      </c>
      <c r="G20" t="inlineStr">
        <is>
          <t>三千百卅七石余</t>
        </is>
      </c>
      <c r="H20" t="inlineStr"/>
      <c r="I20" t="inlineStr">
        <is>
          <t>〔14〕</t>
        </is>
      </c>
      <c r="J20" t="inlineStr">
        <is>
          <t>30020480000041600</t>
        </is>
      </c>
      <c r="K20" t="inlineStr">
        <is>
          <t>沖縄県豊見城市翁長</t>
        </is>
      </c>
      <c r="L20" s="1">
        <f>HYPERLINK("https://www.hi.u-tokyo.ac.jp/collection/degitalgallary/ryukyu/item/20019", "https://www.hi.u-tokyo.ac.jp/collection/degitalgallary/ryukyu/item/20019")</f>
        <v/>
      </c>
    </row>
    <row r="21">
      <c r="A21" t="inlineStr">
        <is>
          <t>20020</t>
        </is>
      </c>
      <c r="B21" t="inlineStr">
        <is>
          <t>真和志間切</t>
        </is>
      </c>
      <c r="C21" t="inlineStr">
        <is>
          <t>間切</t>
        </is>
      </c>
      <c r="D21" t="inlineStr">
        <is>
          <t>26.2483209</t>
        </is>
      </c>
      <c r="E21" t="inlineStr">
        <is>
          <t>127.6925302</t>
        </is>
      </c>
      <c r="F21" t="inlineStr">
        <is>
          <t>正保琉球国悪鬼納島絵図写</t>
        </is>
      </c>
      <c r="G21" t="inlineStr">
        <is>
          <t>弐千三百六拾八石余</t>
        </is>
      </c>
      <c r="H21" t="inlineStr"/>
      <c r="I21" t="inlineStr">
        <is>
          <t>〔15〕</t>
        </is>
      </c>
      <c r="J21" t="inlineStr">
        <is>
          <t>30020480000034300</t>
        </is>
      </c>
      <c r="K21" t="inlineStr">
        <is>
          <t>沖縄県浦添市小湾</t>
        </is>
      </c>
      <c r="L21" s="1">
        <f>HYPERLINK("https://www.hi.u-tokyo.ac.jp/collection/degitalgallary/ryukyu/item/20020", "https://www.hi.u-tokyo.ac.jp/collection/degitalgallary/ryukyu/item/20020")</f>
        <v/>
      </c>
    </row>
    <row r="22">
      <c r="A22" t="inlineStr">
        <is>
          <t>20021</t>
        </is>
      </c>
      <c r="B22" t="inlineStr">
        <is>
          <t>浦添間切</t>
        </is>
      </c>
      <c r="C22" t="inlineStr">
        <is>
          <t>間切</t>
        </is>
      </c>
      <c r="D22" t="inlineStr">
        <is>
          <t>26.2815391</t>
        </is>
      </c>
      <c r="E22" t="inlineStr">
        <is>
          <t>127.7785065</t>
        </is>
      </c>
      <c r="F22" t="inlineStr">
        <is>
          <t>正保琉球国悪鬼納島絵図写</t>
        </is>
      </c>
      <c r="G22" t="inlineStr">
        <is>
          <t>五千三百卅五石余</t>
        </is>
      </c>
      <c r="H22" t="inlineStr"/>
      <c r="I22" t="inlineStr">
        <is>
          <t>〔16〕</t>
        </is>
      </c>
      <c r="J22" t="inlineStr">
        <is>
          <t>30020480000072400</t>
        </is>
      </c>
      <c r="K22" t="inlineStr">
        <is>
          <t>沖縄県宜野湾市野嵩</t>
        </is>
      </c>
      <c r="L22" s="1">
        <f>HYPERLINK("https://www.hi.u-tokyo.ac.jp/collection/degitalgallary/ryukyu/item/20021", "https://www.hi.u-tokyo.ac.jp/collection/degitalgallary/ryukyu/item/20021")</f>
        <v/>
      </c>
    </row>
    <row r="23">
      <c r="A23" t="inlineStr">
        <is>
          <t>20022</t>
        </is>
      </c>
      <c r="B23" t="inlineStr">
        <is>
          <t>西原間切</t>
        </is>
      </c>
      <c r="C23" t="inlineStr">
        <is>
          <t>間切</t>
        </is>
      </c>
      <c r="D23" t="inlineStr">
        <is>
          <t>26.2228349</t>
        </is>
      </c>
      <c r="E23" t="inlineStr">
        <is>
          <t>127.7588392</t>
        </is>
      </c>
      <c r="F23" t="inlineStr">
        <is>
          <t>正保琉球国悪鬼納島絵図写</t>
        </is>
      </c>
      <c r="G23" t="inlineStr">
        <is>
          <t>弐千八百九十七石余</t>
        </is>
      </c>
      <c r="H23" t="inlineStr"/>
      <c r="I23" t="inlineStr">
        <is>
          <t>〔17〕</t>
        </is>
      </c>
      <c r="J23" t="inlineStr">
        <is>
          <t>30020480000069800</t>
        </is>
      </c>
      <c r="K23" t="inlineStr">
        <is>
          <t>沖縄県中頭郡西原町与那城</t>
        </is>
      </c>
      <c r="L23" s="1">
        <f>HYPERLINK("https://www.hi.u-tokyo.ac.jp/collection/degitalgallary/ryukyu/item/20022", "https://www.hi.u-tokyo.ac.jp/collection/degitalgallary/ryukyu/item/20022")</f>
        <v/>
      </c>
    </row>
    <row r="24">
      <c r="A24" t="inlineStr">
        <is>
          <t>20023</t>
        </is>
      </c>
      <c r="B24" t="inlineStr">
        <is>
          <t>中城間切</t>
        </is>
      </c>
      <c r="C24" t="inlineStr">
        <is>
          <t>間切</t>
        </is>
      </c>
      <c r="D24" t="inlineStr">
        <is>
          <t>26.2671905</t>
        </is>
      </c>
      <c r="E24" t="inlineStr">
        <is>
          <t>127.7910006</t>
        </is>
      </c>
      <c r="F24" t="inlineStr">
        <is>
          <t>正保琉球国悪鬼納島絵図写</t>
        </is>
      </c>
      <c r="G24" t="inlineStr">
        <is>
          <t>三千百六石余</t>
        </is>
      </c>
      <c r="H24" t="inlineStr"/>
      <c r="I24" t="inlineStr">
        <is>
          <t>〔18〕</t>
        </is>
      </c>
      <c r="J24" t="inlineStr">
        <is>
          <t>30020480000081900</t>
        </is>
      </c>
      <c r="K24" t="inlineStr">
        <is>
          <t>沖縄県中頭郡中城村当間</t>
        </is>
      </c>
      <c r="L24" s="1">
        <f>HYPERLINK("https://www.hi.u-tokyo.ac.jp/collection/degitalgallary/ryukyu/item/20023", "https://www.hi.u-tokyo.ac.jp/collection/degitalgallary/ryukyu/item/20023")</f>
        <v/>
      </c>
    </row>
    <row r="25">
      <c r="A25" t="inlineStr">
        <is>
          <t>20024</t>
        </is>
      </c>
      <c r="B25" t="inlineStr">
        <is>
          <t>北谷間切</t>
        </is>
      </c>
      <c r="C25" t="inlineStr">
        <is>
          <t>間切</t>
        </is>
      </c>
      <c r="D25" t="inlineStr">
        <is>
          <t>26.3616176</t>
        </is>
      </c>
      <c r="E25" t="inlineStr">
        <is>
          <t>127.7549744</t>
        </is>
      </c>
      <c r="F25" t="inlineStr">
        <is>
          <t>正保琉球国悪鬼納島絵図写</t>
        </is>
      </c>
      <c r="G25" t="inlineStr">
        <is>
          <t>三千四百卅五石余</t>
        </is>
      </c>
      <c r="H25" t="inlineStr"/>
      <c r="I25" t="inlineStr">
        <is>
          <t>〔19〕</t>
        </is>
      </c>
      <c r="J25" t="inlineStr">
        <is>
          <t>30020480000091400</t>
        </is>
      </c>
      <c r="K25" t="inlineStr">
        <is>
          <t>沖縄県中頭郡嘉手納町嘉手納</t>
        </is>
      </c>
      <c r="L25" s="1">
        <f>HYPERLINK("https://www.hi.u-tokyo.ac.jp/collection/degitalgallary/ryukyu/item/20024", "https://www.hi.u-tokyo.ac.jp/collection/degitalgallary/ryukyu/item/20024")</f>
        <v/>
      </c>
    </row>
    <row r="26">
      <c r="A26" t="inlineStr">
        <is>
          <t>20025</t>
        </is>
      </c>
      <c r="B26" t="inlineStr">
        <is>
          <t>具志川間切</t>
        </is>
      </c>
      <c r="C26" t="inlineStr">
        <is>
          <t>間切</t>
        </is>
      </c>
      <c r="D26" t="inlineStr">
        <is>
          <t>26.3786847</t>
        </is>
      </c>
      <c r="E26" t="inlineStr">
        <is>
          <t>127.8574931</t>
        </is>
      </c>
      <c r="F26" t="inlineStr">
        <is>
          <t>正保琉球国悪鬼納島絵図写</t>
        </is>
      </c>
      <c r="G26" t="inlineStr">
        <is>
          <t>四千七十三石余</t>
        </is>
      </c>
      <c r="H26" t="inlineStr"/>
      <c r="I26" t="inlineStr">
        <is>
          <t>〔20〕</t>
        </is>
      </c>
      <c r="J26" t="inlineStr">
        <is>
          <t>30020480000099400</t>
        </is>
      </c>
      <c r="K26" t="inlineStr">
        <is>
          <t>沖縄県うるま市みどり町</t>
        </is>
      </c>
      <c r="L26" s="1">
        <f>HYPERLINK("https://www.hi.u-tokyo.ac.jp/collection/degitalgallary/ryukyu/item/20025", "https://www.hi.u-tokyo.ac.jp/collection/degitalgallary/ryukyu/item/20025")</f>
        <v/>
      </c>
    </row>
    <row r="27">
      <c r="A27" t="inlineStr">
        <is>
          <t>20026</t>
        </is>
      </c>
      <c r="B27" t="inlineStr">
        <is>
          <t>勝連間切</t>
        </is>
      </c>
      <c r="C27" t="inlineStr">
        <is>
          <t>間切</t>
        </is>
      </c>
      <c r="D27" t="inlineStr">
        <is>
          <t>26.3305246</t>
        </is>
      </c>
      <c r="E27" t="inlineStr">
        <is>
          <t>127.8789737</t>
        </is>
      </c>
      <c r="F27" t="inlineStr">
        <is>
          <t>正保琉球国悪鬼納島絵図写</t>
        </is>
      </c>
      <c r="G27" t="inlineStr">
        <is>
          <t>弐千廿弐石余</t>
        </is>
      </c>
      <c r="H27" t="inlineStr"/>
      <c r="I27" t="inlineStr">
        <is>
          <t>〔21〕</t>
        </is>
      </c>
      <c r="J27" t="inlineStr">
        <is>
          <t>30020480000102300</t>
        </is>
      </c>
      <c r="K27" t="inlineStr">
        <is>
          <t>沖縄県うるま市勝連南風原</t>
        </is>
      </c>
      <c r="L27" s="1">
        <f>HYPERLINK("https://www.hi.u-tokyo.ac.jp/collection/degitalgallary/ryukyu/item/20026", "https://www.hi.u-tokyo.ac.jp/collection/degitalgallary/ryukyu/item/20026")</f>
        <v/>
      </c>
    </row>
    <row r="28">
      <c r="A28" t="inlineStr">
        <is>
          <t>20027</t>
        </is>
      </c>
      <c r="B28" t="inlineStr">
        <is>
          <t>越来間切</t>
        </is>
      </c>
      <c r="C28" t="inlineStr">
        <is>
          <t>間切</t>
        </is>
      </c>
      <c r="D28" t="inlineStr">
        <is>
          <t>26.3343533</t>
        </is>
      </c>
      <c r="E28" t="inlineStr">
        <is>
          <t>127.8056058</t>
        </is>
      </c>
      <c r="F28" t="inlineStr">
        <is>
          <t>正保琉球国悪鬼納島絵図写</t>
        </is>
      </c>
      <c r="G28" t="inlineStr">
        <is>
          <t>四千三百八十一石余</t>
        </is>
      </c>
      <c r="H28" t="inlineStr"/>
      <c r="I28" t="inlineStr">
        <is>
          <t>〔22〕</t>
        </is>
      </c>
      <c r="J28" t="inlineStr">
        <is>
          <t>30020480000086400</t>
        </is>
      </c>
      <c r="K28" t="inlineStr">
        <is>
          <t>沖縄県沖縄市仲宗根町</t>
        </is>
      </c>
      <c r="L28" s="1">
        <f>HYPERLINK("https://www.hi.u-tokyo.ac.jp/collection/degitalgallary/ryukyu/item/20027", "https://www.hi.u-tokyo.ac.jp/collection/degitalgallary/ryukyu/item/20027")</f>
        <v/>
      </c>
    </row>
    <row r="29">
      <c r="A29" t="inlineStr">
        <is>
          <t>20028</t>
        </is>
      </c>
      <c r="B29" t="inlineStr">
        <is>
          <t>読谷山間切</t>
        </is>
      </c>
      <c r="C29" t="inlineStr">
        <is>
          <t>間切</t>
        </is>
      </c>
      <c r="D29" t="inlineStr">
        <is>
          <t>26.3960774</t>
        </is>
      </c>
      <c r="E29" t="inlineStr">
        <is>
          <t>127.7444117</t>
        </is>
      </c>
      <c r="F29" t="inlineStr">
        <is>
          <t>正保琉球国悪鬼納島絵図写</t>
        </is>
      </c>
      <c r="G29" t="inlineStr">
        <is>
          <t>四千九百六拾三石余</t>
        </is>
      </c>
      <c r="H29" t="inlineStr"/>
      <c r="I29" t="inlineStr">
        <is>
          <t>〔23〕</t>
        </is>
      </c>
      <c r="J29" t="inlineStr">
        <is>
          <t>30020480000096200</t>
        </is>
      </c>
      <c r="K29" t="inlineStr">
        <is>
          <t>沖縄県中頭郡読谷村座喜味</t>
        </is>
      </c>
      <c r="L29" s="1">
        <f>HYPERLINK("https://www.hi.u-tokyo.ac.jp/collection/degitalgallary/ryukyu/item/20028", "https://www.hi.u-tokyo.ac.jp/collection/degitalgallary/ryukyu/item/20028")</f>
        <v/>
      </c>
    </row>
    <row r="30">
      <c r="A30" t="inlineStr">
        <is>
          <t>20029</t>
        </is>
      </c>
      <c r="B30" t="inlineStr">
        <is>
          <t>金武間切</t>
        </is>
      </c>
      <c r="C30" t="inlineStr">
        <is>
          <t>間切</t>
        </is>
      </c>
      <c r="D30" t="inlineStr">
        <is>
          <t>26.4561898</t>
        </is>
      </c>
      <c r="E30" t="inlineStr">
        <is>
          <t>127.9259867</t>
        </is>
      </c>
      <c r="F30" t="inlineStr">
        <is>
          <t>正保琉球国悪鬼納島絵図写</t>
        </is>
      </c>
      <c r="G30" t="inlineStr">
        <is>
          <t>千九百五十三石余</t>
        </is>
      </c>
      <c r="H30" t="inlineStr"/>
      <c r="I30" t="inlineStr">
        <is>
          <t>〔24〕</t>
        </is>
      </c>
      <c r="J30" t="inlineStr">
        <is>
          <t>30020480000111900</t>
        </is>
      </c>
      <c r="K30" t="inlineStr">
        <is>
          <t>沖縄県国頭郡金武町金武</t>
        </is>
      </c>
      <c r="L30" s="1">
        <f>HYPERLINK("https://www.hi.u-tokyo.ac.jp/collection/degitalgallary/ryukyu/item/20029", "https://www.hi.u-tokyo.ac.jp/collection/degitalgallary/ryukyu/item/20029")</f>
        <v/>
      </c>
    </row>
    <row r="31">
      <c r="A31" t="inlineStr">
        <is>
          <t>20030</t>
        </is>
      </c>
      <c r="B31" t="inlineStr">
        <is>
          <t>金武間切之内おんな村</t>
        </is>
      </c>
      <c r="C31" t="inlineStr">
        <is>
          <t>村</t>
        </is>
      </c>
      <c r="D31" t="inlineStr">
        <is>
          <t>26.4896498</t>
        </is>
      </c>
      <c r="E31" t="inlineStr">
        <is>
          <t>127.8565368</t>
        </is>
      </c>
      <c r="F31" t="inlineStr">
        <is>
          <t>正保琉球国悪鬼納島絵図写</t>
        </is>
      </c>
      <c r="G31" t="inlineStr">
        <is>
          <t>おんな村</t>
        </is>
      </c>
      <c r="H31" t="inlineStr"/>
      <c r="I31" t="inlineStr">
        <is>
          <t>〔25〕</t>
        </is>
      </c>
      <c r="J31" t="inlineStr"/>
      <c r="K31" t="inlineStr">
        <is>
          <t>沖縄県国頭郡恩納村恩納</t>
        </is>
      </c>
      <c r="L31" s="1">
        <f>HYPERLINK("https://www.hi.u-tokyo.ac.jp/collection/degitalgallary/ryukyu/item/20030", "https://www.hi.u-tokyo.ac.jp/collection/degitalgallary/ryukyu/item/20030")</f>
        <v/>
      </c>
    </row>
    <row r="32">
      <c r="A32" t="inlineStr">
        <is>
          <t>20031</t>
        </is>
      </c>
      <c r="B32" t="inlineStr">
        <is>
          <t>金武間切之内こちや村</t>
        </is>
      </c>
      <c r="C32" t="inlineStr">
        <is>
          <t>村</t>
        </is>
      </c>
      <c r="D32" t="inlineStr">
        <is>
          <t>26.510235</t>
        </is>
      </c>
      <c r="E32" t="inlineStr">
        <is>
          <t>127.9837545</t>
        </is>
      </c>
      <c r="F32" t="inlineStr">
        <is>
          <t>正保琉球国悪鬼納島絵図写</t>
        </is>
      </c>
      <c r="G32" t="inlineStr">
        <is>
          <t>こちや村</t>
        </is>
      </c>
      <c r="H32" t="inlineStr"/>
      <c r="I32" t="inlineStr">
        <is>
          <t>〔26〕</t>
        </is>
      </c>
      <c r="J32" t="inlineStr"/>
      <c r="K32" t="inlineStr">
        <is>
          <t>沖縄県国頭郡宜野座村松田</t>
        </is>
      </c>
      <c r="L32" s="1">
        <f>HYPERLINK("https://www.hi.u-tokyo.ac.jp/collection/degitalgallary/ryukyu/item/20031", "https://www.hi.u-tokyo.ac.jp/collection/degitalgallary/ryukyu/item/20031")</f>
        <v/>
      </c>
    </row>
    <row r="33">
      <c r="A33" t="inlineStr">
        <is>
          <t>20032</t>
        </is>
      </c>
      <c r="B33" t="inlineStr">
        <is>
          <t>名護間切之内幸喜村</t>
        </is>
      </c>
      <c r="C33" t="inlineStr">
        <is>
          <t>村</t>
        </is>
      </c>
      <c r="D33" t="inlineStr">
        <is>
          <t>26.5301944</t>
        </is>
      </c>
      <c r="E33" t="inlineStr">
        <is>
          <t>127.9599192</t>
        </is>
      </c>
      <c r="F33" t="inlineStr">
        <is>
          <t>正保琉球国悪鬼納島絵図写</t>
        </is>
      </c>
      <c r="G33" t="inlineStr">
        <is>
          <t>幸喜村</t>
        </is>
      </c>
      <c r="H33" t="inlineStr"/>
      <c r="I33" t="inlineStr">
        <is>
          <t>〔27〕</t>
        </is>
      </c>
      <c r="J33" t="inlineStr"/>
      <c r="K33" t="inlineStr">
        <is>
          <t>沖縄県名護市幸喜</t>
        </is>
      </c>
      <c r="L33" s="1">
        <f>HYPERLINK("https://www.hi.u-tokyo.ac.jp/collection/degitalgallary/ryukyu/item/20032", "https://www.hi.u-tokyo.ac.jp/collection/degitalgallary/ryukyu/item/20032")</f>
        <v/>
      </c>
    </row>
    <row r="34">
      <c r="A34" t="inlineStr">
        <is>
          <t>20033</t>
        </is>
      </c>
      <c r="B34" t="inlineStr">
        <is>
          <t>名護間切</t>
        </is>
      </c>
      <c r="C34" t="inlineStr">
        <is>
          <t>間切</t>
        </is>
      </c>
      <c r="D34" t="inlineStr">
        <is>
          <t>26.5915575</t>
        </is>
      </c>
      <c r="E34" t="inlineStr">
        <is>
          <t>127.9775272</t>
        </is>
      </c>
      <c r="F34" t="inlineStr">
        <is>
          <t>正保琉球国悪鬼納島絵図写</t>
        </is>
      </c>
      <c r="G34" t="inlineStr">
        <is>
          <t>千六百五十一石余</t>
        </is>
      </c>
      <c r="H34" t="inlineStr"/>
      <c r="I34" t="inlineStr">
        <is>
          <t>〔28〕</t>
        </is>
      </c>
      <c r="J34" t="inlineStr">
        <is>
          <t>30020480000116000</t>
        </is>
      </c>
      <c r="K34" t="inlineStr">
        <is>
          <t>沖縄県名護市港</t>
        </is>
      </c>
      <c r="L34" s="1">
        <f>HYPERLINK("https://www.hi.u-tokyo.ac.jp/collection/degitalgallary/ryukyu/item/20033", "https://www.hi.u-tokyo.ac.jp/collection/degitalgallary/ryukyu/item/20033")</f>
        <v/>
      </c>
    </row>
    <row r="35">
      <c r="A35" t="inlineStr">
        <is>
          <t>20034</t>
        </is>
      </c>
      <c r="B35" t="inlineStr">
        <is>
          <t>名護間切之内おほら村</t>
        </is>
      </c>
      <c r="C35" t="inlineStr">
        <is>
          <t>村</t>
        </is>
      </c>
      <c r="D35" t="inlineStr">
        <is>
          <t>26.568845</t>
        </is>
      </c>
      <c r="E35" t="inlineStr">
        <is>
          <t>128.0446292</t>
        </is>
      </c>
      <c r="F35" t="inlineStr">
        <is>
          <t>正保琉球国悪鬼納島絵図写</t>
        </is>
      </c>
      <c r="G35" t="inlineStr">
        <is>
          <t>おほら村</t>
        </is>
      </c>
      <c r="H35" t="inlineStr"/>
      <c r="I35" t="inlineStr">
        <is>
          <t>〔29〕</t>
        </is>
      </c>
      <c r="J35" t="inlineStr"/>
      <c r="K35" t="inlineStr">
        <is>
          <t>沖縄県名護市大浦</t>
        </is>
      </c>
      <c r="L35" s="1">
        <f>HYPERLINK("https://www.hi.u-tokyo.ac.jp/collection/degitalgallary/ryukyu/item/20034", "https://www.hi.u-tokyo.ac.jp/collection/degitalgallary/ryukyu/item/20034")</f>
        <v/>
      </c>
    </row>
    <row r="36">
      <c r="A36" t="inlineStr">
        <is>
          <t>20035</t>
        </is>
      </c>
      <c r="B36" t="inlineStr">
        <is>
          <t>名護間切之内てぎな村</t>
        </is>
      </c>
      <c r="C36" t="inlineStr">
        <is>
          <t>村</t>
        </is>
      </c>
      <c r="D36" t="inlineStr"/>
      <c r="E36" t="inlineStr"/>
      <c r="F36" t="inlineStr">
        <is>
          <t>正保琉球国悪鬼納島絵図写</t>
        </is>
      </c>
      <c r="G36" t="inlineStr">
        <is>
          <t>てぎな村</t>
        </is>
      </c>
      <c r="H36" t="inlineStr"/>
      <c r="I36" t="inlineStr">
        <is>
          <t>〔30〕</t>
        </is>
      </c>
      <c r="J36" t="inlineStr"/>
      <c r="K36" t="inlineStr"/>
      <c r="L36" s="1">
        <f>HYPERLINK("https://www.hi.u-tokyo.ac.jp/collection/degitalgallary/ryukyu/item/20035", "https://www.hi.u-tokyo.ac.jp/collection/degitalgallary/ryukyu/item/20035")</f>
        <v/>
      </c>
    </row>
    <row r="37">
      <c r="A37" t="inlineStr">
        <is>
          <t>20036</t>
        </is>
      </c>
      <c r="B37" t="inlineStr">
        <is>
          <t>名護間切之内川田村</t>
        </is>
      </c>
      <c r="C37" t="inlineStr">
        <is>
          <t>村</t>
        </is>
      </c>
      <c r="D37" t="inlineStr">
        <is>
          <t>26.6574063</t>
        </is>
      </c>
      <c r="E37" t="inlineStr">
        <is>
          <t>128.1846982</t>
        </is>
      </c>
      <c r="F37" t="inlineStr">
        <is>
          <t>正保琉球国悪鬼納島絵図写</t>
        </is>
      </c>
      <c r="G37" t="inlineStr">
        <is>
          <t>川田村</t>
        </is>
      </c>
      <c r="H37" t="inlineStr"/>
      <c r="I37" t="inlineStr">
        <is>
          <t>〔31〕</t>
        </is>
      </c>
      <c r="J37" t="inlineStr"/>
      <c r="K37" t="inlineStr">
        <is>
          <t>沖縄県国頭郡東村川田</t>
        </is>
      </c>
      <c r="L37" s="1">
        <f>HYPERLINK("https://www.hi.u-tokyo.ac.jp/collection/degitalgallary/ryukyu/item/20036", "https://www.hi.u-tokyo.ac.jp/collection/degitalgallary/ryukyu/item/20036")</f>
        <v/>
      </c>
    </row>
    <row r="38">
      <c r="A38" t="inlineStr">
        <is>
          <t>20037</t>
        </is>
      </c>
      <c r="B38" t="inlineStr">
        <is>
          <t>今帰仁間切之内あめそこ村</t>
        </is>
      </c>
      <c r="C38" t="inlineStr">
        <is>
          <t>村</t>
        </is>
      </c>
      <c r="D38" t="inlineStr"/>
      <c r="E38" t="inlineStr"/>
      <c r="F38" t="inlineStr">
        <is>
          <t>正保琉球国悪鬼納島絵図写</t>
        </is>
      </c>
      <c r="G38" t="inlineStr">
        <is>
          <t>あめそこ村</t>
        </is>
      </c>
      <c r="H38" t="inlineStr"/>
      <c r="I38" t="inlineStr">
        <is>
          <t>〔32〕</t>
        </is>
      </c>
      <c r="J38" t="inlineStr"/>
      <c r="K38" t="inlineStr"/>
      <c r="L38" s="1">
        <f>HYPERLINK("https://www.hi.u-tokyo.ac.jp/collection/degitalgallary/ryukyu/item/20037", "https://www.hi.u-tokyo.ac.jp/collection/degitalgallary/ryukyu/item/20037")</f>
        <v/>
      </c>
    </row>
    <row r="39">
      <c r="A39" t="inlineStr">
        <is>
          <t>20038</t>
        </is>
      </c>
      <c r="B39" t="inlineStr">
        <is>
          <t>今帰仁間切之内によは村</t>
        </is>
      </c>
      <c r="C39" t="inlineStr">
        <is>
          <t>村</t>
        </is>
      </c>
      <c r="D39" t="inlineStr"/>
      <c r="E39" t="inlineStr"/>
      <c r="F39" t="inlineStr">
        <is>
          <t>正保琉球国悪鬼納島絵図写</t>
        </is>
      </c>
      <c r="G39" t="inlineStr">
        <is>
          <t>によは村</t>
        </is>
      </c>
      <c r="H39" t="inlineStr"/>
      <c r="I39" t="inlineStr">
        <is>
          <t>〔33〕</t>
        </is>
      </c>
      <c r="J39" t="inlineStr"/>
      <c r="K39" t="inlineStr"/>
      <c r="L39" s="1">
        <f>HYPERLINK("https://www.hi.u-tokyo.ac.jp/collection/degitalgallary/ryukyu/item/20038", "https://www.hi.u-tokyo.ac.jp/collection/degitalgallary/ryukyu/item/20038")</f>
        <v/>
      </c>
    </row>
    <row r="40">
      <c r="A40" t="inlineStr">
        <is>
          <t>20039</t>
        </is>
      </c>
      <c r="B40" t="inlineStr">
        <is>
          <t>今帰仁間切之内</t>
        </is>
      </c>
      <c r="C40" t="inlineStr">
        <is>
          <t>島</t>
        </is>
      </c>
      <c r="D40" t="inlineStr">
        <is>
          <t>26.6451498</t>
        </is>
      </c>
      <c r="E40" t="inlineStr">
        <is>
          <t>127.8644948</t>
        </is>
      </c>
      <c r="F40" t="inlineStr">
        <is>
          <t>正保琉球国悪鬼納島絵図写</t>
        </is>
      </c>
      <c r="G40" t="inlineStr">
        <is>
          <t>瀬底嶋、人居有
嶋廻一里廿弐町</t>
        </is>
      </c>
      <c r="H40" t="inlineStr"/>
      <c r="I40" t="inlineStr">
        <is>
          <t>〔34〕</t>
        </is>
      </c>
      <c r="J40" t="inlineStr"/>
      <c r="K40" t="inlineStr">
        <is>
          <t>沖縄県国頭郡本部町瀬底</t>
        </is>
      </c>
      <c r="L40" s="1">
        <f>HYPERLINK("https://www.hi.u-tokyo.ac.jp/collection/degitalgallary/ryukyu/item/20039", "https://www.hi.u-tokyo.ac.jp/collection/degitalgallary/ryukyu/item/20039")</f>
        <v/>
      </c>
    </row>
    <row r="41">
      <c r="A41" t="inlineStr">
        <is>
          <t>20040</t>
        </is>
      </c>
      <c r="B41" t="inlineStr">
        <is>
          <t>今帰仁間切</t>
        </is>
      </c>
      <c r="C41" t="inlineStr">
        <is>
          <t>間切</t>
        </is>
      </c>
      <c r="D41" t="inlineStr"/>
      <c r="E41" t="inlineStr"/>
      <c r="F41" t="inlineStr">
        <is>
          <t>正保琉球国悪鬼納島絵図写</t>
        </is>
      </c>
      <c r="G41" t="inlineStr">
        <is>
          <t>五千卅五石余</t>
        </is>
      </c>
      <c r="H41" t="inlineStr"/>
      <c r="I41" t="inlineStr">
        <is>
          <t>〔35〕</t>
        </is>
      </c>
      <c r="J41" t="inlineStr">
        <is>
          <t>30020480000130200</t>
        </is>
      </c>
      <c r="K41" t="inlineStr"/>
      <c r="L41" s="1">
        <f>HYPERLINK("https://www.hi.u-tokyo.ac.jp/collection/degitalgallary/ryukyu/item/20040", "https://www.hi.u-tokyo.ac.jp/collection/degitalgallary/ryukyu/item/20040")</f>
        <v/>
      </c>
    </row>
    <row r="42">
      <c r="A42" t="inlineStr">
        <is>
          <t>20041</t>
        </is>
      </c>
      <c r="B42" t="inlineStr">
        <is>
          <t>今帰仁間切之内運天村</t>
        </is>
      </c>
      <c r="C42" t="inlineStr">
        <is>
          <t>村</t>
        </is>
      </c>
      <c r="D42" t="inlineStr"/>
      <c r="E42" t="inlineStr"/>
      <c r="F42" t="inlineStr">
        <is>
          <t>正保琉球国悪鬼納島絵図写</t>
        </is>
      </c>
      <c r="G42" t="inlineStr">
        <is>
          <t>運天村</t>
        </is>
      </c>
      <c r="H42" t="inlineStr"/>
      <c r="I42" t="inlineStr">
        <is>
          <t>〔36〕</t>
        </is>
      </c>
      <c r="J42" t="inlineStr"/>
      <c r="K42" t="inlineStr"/>
      <c r="L42" s="1">
        <f>HYPERLINK("https://www.hi.u-tokyo.ac.jp/collection/degitalgallary/ryukyu/item/20041", "https://www.hi.u-tokyo.ac.jp/collection/degitalgallary/ryukyu/item/20041")</f>
        <v/>
      </c>
    </row>
    <row r="43">
      <c r="A43" t="inlineStr">
        <is>
          <t>20042</t>
        </is>
      </c>
      <c r="B43" t="inlineStr">
        <is>
          <t>今帰仁間切之内</t>
        </is>
      </c>
      <c r="C43" t="inlineStr">
        <is>
          <t>島</t>
        </is>
      </c>
      <c r="D43" t="inlineStr">
        <is>
          <t>26.7072982</t>
        </is>
      </c>
      <c r="E43" t="inlineStr">
        <is>
          <t>128.0181686</t>
        </is>
      </c>
      <c r="F43" t="inlineStr">
        <is>
          <t>正保琉球国悪鬼納島絵図写</t>
        </is>
      </c>
      <c r="G43" t="inlineStr">
        <is>
          <t>沖ノ郡嶋
嶋廻一里十弐町</t>
        </is>
      </c>
      <c r="H43" t="inlineStr"/>
      <c r="I43" t="inlineStr">
        <is>
          <t>〔37〕</t>
        </is>
      </c>
      <c r="J43" t="inlineStr"/>
      <c r="K43" t="inlineStr">
        <is>
          <t>沖縄県国頭郡今帰仁村古宇利</t>
        </is>
      </c>
      <c r="L43" s="1">
        <f>HYPERLINK("https://www.hi.u-tokyo.ac.jp/collection/degitalgallary/ryukyu/item/20042", "https://www.hi.u-tokyo.ac.jp/collection/degitalgallary/ryukyu/item/20042")</f>
        <v/>
      </c>
    </row>
    <row r="44">
      <c r="A44" t="inlineStr">
        <is>
          <t>20043</t>
        </is>
      </c>
      <c r="B44" t="inlineStr">
        <is>
          <t>今帰仁間切之内</t>
        </is>
      </c>
      <c r="C44" t="inlineStr">
        <is>
          <t>その他</t>
        </is>
      </c>
      <c r="D44" t="inlineStr"/>
      <c r="E44" t="inlineStr"/>
      <c r="F44" t="inlineStr">
        <is>
          <t>正保琉球国悪鬼納島絵図写</t>
        </is>
      </c>
      <c r="G44" t="inlineStr">
        <is>
          <t>無人居</t>
        </is>
      </c>
      <c r="H44" t="inlineStr"/>
      <c r="I44" t="inlineStr">
        <is>
          <t>〔38〕</t>
        </is>
      </c>
      <c r="J44" t="inlineStr"/>
      <c r="K44" t="inlineStr"/>
      <c r="L44" s="1">
        <f>HYPERLINK("https://www.hi.u-tokyo.ac.jp/collection/degitalgallary/ryukyu/item/20043", "https://www.hi.u-tokyo.ac.jp/collection/degitalgallary/ryukyu/item/20043")</f>
        <v/>
      </c>
    </row>
    <row r="45">
      <c r="A45" t="inlineStr">
        <is>
          <t>20044</t>
        </is>
      </c>
      <c r="B45" t="inlineStr">
        <is>
          <t>羽地間切之内やが村、人居有</t>
        </is>
      </c>
      <c r="C45" t="inlineStr">
        <is>
          <t>村</t>
        </is>
      </c>
      <c r="D45" t="inlineStr">
        <is>
          <t>26.6705839</t>
        </is>
      </c>
      <c r="E45" t="inlineStr">
        <is>
          <t>128.015522</t>
        </is>
      </c>
      <c r="F45" t="inlineStr">
        <is>
          <t>正保琉球国悪鬼納島絵図写</t>
        </is>
      </c>
      <c r="G45" t="inlineStr">
        <is>
          <t>やが村、人居有</t>
        </is>
      </c>
      <c r="H45" t="inlineStr"/>
      <c r="I45" t="inlineStr">
        <is>
          <t>〔39〕</t>
        </is>
      </c>
      <c r="J45" t="inlineStr"/>
      <c r="K45" t="inlineStr">
        <is>
          <t>沖縄県名護市済井出</t>
        </is>
      </c>
      <c r="L45" s="1">
        <f>HYPERLINK("https://www.hi.u-tokyo.ac.jp/collection/degitalgallary/ryukyu/item/20044", "https://www.hi.u-tokyo.ac.jp/collection/degitalgallary/ryukyu/item/20044")</f>
        <v/>
      </c>
    </row>
    <row r="46">
      <c r="A46" t="inlineStr">
        <is>
          <t>20045</t>
        </is>
      </c>
      <c r="B46" t="inlineStr">
        <is>
          <t>羽地間切</t>
        </is>
      </c>
      <c r="C46" t="inlineStr">
        <is>
          <t>間切</t>
        </is>
      </c>
      <c r="D46" t="inlineStr">
        <is>
          <t>26.5915575</t>
        </is>
      </c>
      <c r="E46" t="inlineStr">
        <is>
          <t>127.9775272</t>
        </is>
      </c>
      <c r="F46" t="inlineStr">
        <is>
          <t>正保琉球国悪鬼納島絵図写</t>
        </is>
      </c>
      <c r="G46" t="inlineStr">
        <is>
          <t>千九百八十五石余</t>
        </is>
      </c>
      <c r="H46" t="inlineStr"/>
      <c r="I46" t="inlineStr">
        <is>
          <t>〔40〕</t>
        </is>
      </c>
      <c r="J46" t="inlineStr">
        <is>
          <t>30020480000116700</t>
        </is>
      </c>
      <c r="K46" t="inlineStr">
        <is>
          <t>沖縄県名護市港</t>
        </is>
      </c>
      <c r="L46" s="1">
        <f>HYPERLINK("https://www.hi.u-tokyo.ac.jp/collection/degitalgallary/ryukyu/item/20045", "https://www.hi.u-tokyo.ac.jp/collection/degitalgallary/ryukyu/item/20045")</f>
        <v/>
      </c>
    </row>
    <row r="47">
      <c r="A47" t="inlineStr">
        <is>
          <t>20046</t>
        </is>
      </c>
      <c r="B47" t="inlineStr">
        <is>
          <t>国頭間切之内とのきや村</t>
        </is>
      </c>
      <c r="C47" t="inlineStr">
        <is>
          <t>村</t>
        </is>
      </c>
      <c r="D47" t="inlineStr">
        <is>
          <t>26.6557041</t>
        </is>
      </c>
      <c r="E47" t="inlineStr">
        <is>
          <t>128.118664</t>
        </is>
      </c>
      <c r="F47" t="inlineStr">
        <is>
          <t>正保琉球国悪鬼納島絵図写</t>
        </is>
      </c>
      <c r="G47" t="inlineStr">
        <is>
          <t>とのきや村</t>
        </is>
      </c>
      <c r="H47" t="inlineStr"/>
      <c r="I47" t="inlineStr">
        <is>
          <t>〔41〕</t>
        </is>
      </c>
      <c r="J47" t="inlineStr"/>
      <c r="K47" t="inlineStr">
        <is>
          <t>沖縄県国頭郡大宜味村白浜</t>
        </is>
      </c>
      <c r="L47" s="1">
        <f>HYPERLINK("https://www.hi.u-tokyo.ac.jp/collection/degitalgallary/ryukyu/item/20046", "https://www.hi.u-tokyo.ac.jp/collection/degitalgallary/ryukyu/item/20046")</f>
        <v/>
      </c>
    </row>
    <row r="48">
      <c r="A48" t="inlineStr">
        <is>
          <t>20047</t>
        </is>
      </c>
      <c r="B48" t="inlineStr">
        <is>
          <t>国頭間切</t>
        </is>
      </c>
      <c r="C48" t="inlineStr">
        <is>
          <t>間切</t>
        </is>
      </c>
      <c r="D48" t="inlineStr">
        <is>
          <t>26.7456488</t>
        </is>
      </c>
      <c r="E48" t="inlineStr">
        <is>
          <t>128.1779451</t>
        </is>
      </c>
      <c r="F48" t="inlineStr">
        <is>
          <t>正保琉球国悪鬼納島絵図写</t>
        </is>
      </c>
      <c r="G48" t="inlineStr">
        <is>
          <t>千廿九石余</t>
        </is>
      </c>
      <c r="H48" t="inlineStr"/>
      <c r="I48" t="inlineStr">
        <is>
          <t>〔42〕</t>
        </is>
      </c>
      <c r="J48" t="inlineStr">
        <is>
          <t>30020480000127000</t>
        </is>
      </c>
      <c r="K48" t="inlineStr">
        <is>
          <t>沖縄県国頭郡国頭村辺土名</t>
        </is>
      </c>
      <c r="L48" s="1">
        <f>HYPERLINK("https://www.hi.u-tokyo.ac.jp/collection/degitalgallary/ryukyu/item/20047", "https://www.hi.u-tokyo.ac.jp/collection/degitalgallary/ryukyu/item/20047")</f>
        <v/>
      </c>
    </row>
    <row r="49">
      <c r="A49" t="inlineStr">
        <is>
          <t>20048</t>
        </is>
      </c>
      <c r="B49" t="inlineStr">
        <is>
          <t>国頭間切之内あは村</t>
        </is>
      </c>
      <c r="C49" t="inlineStr">
        <is>
          <t>村</t>
        </is>
      </c>
      <c r="D49" t="inlineStr">
        <is>
          <t>26.7173286</t>
        </is>
      </c>
      <c r="E49" t="inlineStr">
        <is>
          <t>128.2638539</t>
        </is>
      </c>
      <c r="F49" t="inlineStr">
        <is>
          <t>正保琉球国悪鬼納島絵図写</t>
        </is>
      </c>
      <c r="G49" t="inlineStr">
        <is>
          <t>あは村</t>
        </is>
      </c>
      <c r="H49" t="inlineStr"/>
      <c r="I49" t="inlineStr">
        <is>
          <t>〔43〕</t>
        </is>
      </c>
      <c r="J49" t="inlineStr"/>
      <c r="K49" t="inlineStr">
        <is>
          <t>沖縄県国頭郡国頭村安波</t>
        </is>
      </c>
      <c r="L49" s="1">
        <f>HYPERLINK("https://www.hi.u-tokyo.ac.jp/collection/degitalgallary/ryukyu/item/20048", "https://www.hi.u-tokyo.ac.jp/collection/degitalgallary/ryukyu/item/20048")</f>
        <v/>
      </c>
    </row>
    <row r="50">
      <c r="A50" t="inlineStr">
        <is>
          <t>20049</t>
        </is>
      </c>
      <c r="B50" t="inlineStr">
        <is>
          <t>国頭間切之内さて村</t>
        </is>
      </c>
      <c r="C50" t="inlineStr">
        <is>
          <t>村</t>
        </is>
      </c>
      <c r="D50" t="inlineStr">
        <is>
          <t>26.7772887</t>
        </is>
      </c>
      <c r="E50" t="inlineStr">
        <is>
          <t>128.240117</t>
        </is>
      </c>
      <c r="F50" t="inlineStr">
        <is>
          <t>正保琉球国悪鬼納島絵図写</t>
        </is>
      </c>
      <c r="G50" t="inlineStr">
        <is>
          <t>さて村</t>
        </is>
      </c>
      <c r="H50" t="inlineStr"/>
      <c r="I50" t="inlineStr">
        <is>
          <t>〔44〕</t>
        </is>
      </c>
      <c r="J50" t="inlineStr"/>
      <c r="K50" t="inlineStr">
        <is>
          <t>沖縄県国頭郡国頭村佐手</t>
        </is>
      </c>
      <c r="L50" s="1">
        <f>HYPERLINK("https://www.hi.u-tokyo.ac.jp/collection/degitalgallary/ryukyu/item/20049", "https://www.hi.u-tokyo.ac.jp/collection/degitalgallary/ryukyu/item/20049")</f>
        <v/>
      </c>
    </row>
    <row r="51">
      <c r="A51" t="inlineStr">
        <is>
          <t>20050</t>
        </is>
      </c>
      <c r="B51" t="inlineStr">
        <is>
          <t>国頭間切之内あだ村</t>
        </is>
      </c>
      <c r="C51" t="inlineStr">
        <is>
          <t>村</t>
        </is>
      </c>
      <c r="D51" t="inlineStr">
        <is>
          <t>26.7505893</t>
        </is>
      </c>
      <c r="E51" t="inlineStr">
        <is>
          <t>128.2849463</t>
        </is>
      </c>
      <c r="F51" t="inlineStr">
        <is>
          <t>正保琉球国悪鬼納島絵図写</t>
        </is>
      </c>
      <c r="G51" t="inlineStr">
        <is>
          <t>あだ村</t>
        </is>
      </c>
      <c r="H51" t="inlineStr"/>
      <c r="I51" t="inlineStr">
        <is>
          <t>〔45〕</t>
        </is>
      </c>
      <c r="J51" t="inlineStr"/>
      <c r="K51" t="inlineStr">
        <is>
          <t>沖縄県国頭郡国頭村安田</t>
        </is>
      </c>
      <c r="L51" s="1">
        <f>HYPERLINK("https://www.hi.u-tokyo.ac.jp/collection/degitalgallary/ryukyu/item/20050", "https://www.hi.u-tokyo.ac.jp/collection/degitalgallary/ryukyu/item/20050")</f>
        <v/>
      </c>
    </row>
    <row r="52">
      <c r="A52" t="inlineStr">
        <is>
          <t>20051</t>
        </is>
      </c>
      <c r="B52" t="inlineStr">
        <is>
          <t>国頭間切之内おく村</t>
        </is>
      </c>
      <c r="C52" t="inlineStr">
        <is>
          <t>村</t>
        </is>
      </c>
      <c r="D52" t="inlineStr">
        <is>
          <t>26.8271449</t>
        </is>
      </c>
      <c r="E52" t="inlineStr">
        <is>
          <t>128.2796738</t>
        </is>
      </c>
      <c r="F52" t="inlineStr">
        <is>
          <t>正保琉球国悪鬼納島絵図写</t>
        </is>
      </c>
      <c r="G52" t="inlineStr">
        <is>
          <t>おく村</t>
        </is>
      </c>
      <c r="H52" t="inlineStr"/>
      <c r="I52" t="inlineStr">
        <is>
          <t>〔46〕</t>
        </is>
      </c>
      <c r="J52" t="inlineStr"/>
      <c r="K52" t="inlineStr">
        <is>
          <t>沖縄県国頭郡国頭村奥</t>
        </is>
      </c>
      <c r="L52" s="1">
        <f>HYPERLINK("https://www.hi.u-tokyo.ac.jp/collection/degitalgallary/ryukyu/item/20051", "https://www.hi.u-tokyo.ac.jp/collection/degitalgallary/ryukyu/item/20051")</f>
        <v/>
      </c>
    </row>
    <row r="53">
      <c r="A53" t="inlineStr">
        <is>
          <t>20052</t>
        </is>
      </c>
      <c r="B53" t="inlineStr">
        <is>
          <t>国頭間切之内へと村</t>
        </is>
      </c>
      <c r="C53" t="inlineStr">
        <is>
          <t>村</t>
        </is>
      </c>
      <c r="D53" t="inlineStr">
        <is>
          <t>26.8587894</t>
        </is>
      </c>
      <c r="E53" t="inlineStr">
        <is>
          <t>128.2664908</t>
        </is>
      </c>
      <c r="F53" t="inlineStr">
        <is>
          <t>正保琉球国悪鬼納島絵図写</t>
        </is>
      </c>
      <c r="G53" t="inlineStr">
        <is>
          <t>へと村</t>
        </is>
      </c>
      <c r="H53" t="inlineStr"/>
      <c r="I53" t="inlineStr">
        <is>
          <t>〔47〕</t>
        </is>
      </c>
      <c r="J53" t="inlineStr"/>
      <c r="K53" t="inlineStr">
        <is>
          <t>沖縄県国頭郡国頭村辺戸</t>
        </is>
      </c>
      <c r="L53" s="1">
        <f>HYPERLINK("https://www.hi.u-tokyo.ac.jp/collection/degitalgallary/ryukyu/item/20052", "https://www.hi.u-tokyo.ac.jp/collection/degitalgallary/ryukyu/item/20052")</f>
        <v/>
      </c>
    </row>
    <row r="54">
      <c r="A54" t="inlineStr">
        <is>
          <t>20053</t>
        </is>
      </c>
      <c r="B54" t="inlineStr">
        <is>
          <t>恵平屋嶋
五百四拾壱石余
嶋廻四里廿六町</t>
        </is>
      </c>
      <c r="C54" t="inlineStr">
        <is>
          <t>島</t>
        </is>
      </c>
      <c r="D54" t="inlineStr">
        <is>
          <t>27.050872</t>
        </is>
      </c>
      <c r="E54" t="inlineStr">
        <is>
          <t>127.9837545</t>
        </is>
      </c>
      <c r="F54" t="inlineStr">
        <is>
          <t>正保琉球国悪鬼納島絵図写</t>
        </is>
      </c>
      <c r="G54" t="inlineStr"/>
      <c r="H54" t="inlineStr"/>
      <c r="I54" t="inlineStr">
        <is>
          <t>〔48〕</t>
        </is>
      </c>
      <c r="J54" t="inlineStr"/>
      <c r="K54" t="inlineStr">
        <is>
          <t>沖縄県島尻郡伊平屋村前泊</t>
        </is>
      </c>
      <c r="L54" s="1">
        <f>HYPERLINK("https://www.hi.u-tokyo.ac.jp/collection/degitalgallary/ryukyu/item/20053", "https://www.hi.u-tokyo.ac.jp/collection/degitalgallary/ryukyu/item/20053")</f>
        <v/>
      </c>
    </row>
    <row r="55">
      <c r="A55" t="inlineStr">
        <is>
          <t>20054</t>
        </is>
      </c>
      <c r="B55" t="inlineStr">
        <is>
          <t>伊是那嶋
七百五拾石余
嶋廻弐里拾八町</t>
        </is>
      </c>
      <c r="C55" t="inlineStr">
        <is>
          <t>島</t>
        </is>
      </c>
      <c r="D55" t="inlineStr">
        <is>
          <t>26.9341601</t>
        </is>
      </c>
      <c r="E55" t="inlineStr">
        <is>
          <t>127.9413748</t>
        </is>
      </c>
      <c r="F55" t="inlineStr">
        <is>
          <t>正保琉球国悪鬼納島絵図写</t>
        </is>
      </c>
      <c r="G55" t="inlineStr"/>
      <c r="H55" t="inlineStr"/>
      <c r="I55" t="inlineStr">
        <is>
          <t>〔49〕</t>
        </is>
      </c>
      <c r="J55" t="inlineStr"/>
      <c r="K55" t="inlineStr">
        <is>
          <t>沖縄県島尻郡伊是名村諸見</t>
        </is>
      </c>
      <c r="L55" s="1">
        <f>HYPERLINK("https://www.hi.u-tokyo.ac.jp/collection/degitalgallary/ryukyu/item/20054", "https://www.hi.u-tokyo.ac.jp/collection/degitalgallary/ryukyu/item/20054")</f>
        <v/>
      </c>
    </row>
    <row r="56">
      <c r="A56" t="inlineStr">
        <is>
          <t>20055</t>
        </is>
      </c>
      <c r="B56" t="inlineStr">
        <is>
          <t>伊恵島
嶋廻四里七町
三千六百四拾三石余</t>
        </is>
      </c>
      <c r="C56" t="inlineStr">
        <is>
          <t>島</t>
        </is>
      </c>
      <c r="D56" t="inlineStr">
        <is>
          <t>26.7135406</t>
        </is>
      </c>
      <c r="E56" t="inlineStr">
        <is>
          <t>127.807032</t>
        </is>
      </c>
      <c r="F56" t="inlineStr">
        <is>
          <t>正保琉球国悪鬼納島絵図写</t>
        </is>
      </c>
      <c r="G56" t="inlineStr"/>
      <c r="H56" t="inlineStr"/>
      <c r="I56" t="inlineStr">
        <is>
          <t>〔50〕</t>
        </is>
      </c>
      <c r="J56" t="inlineStr"/>
      <c r="K56" t="inlineStr">
        <is>
          <t>沖縄県国頭郡伊江村東江前</t>
        </is>
      </c>
      <c r="L56" s="1">
        <f>HYPERLINK("https://www.hi.u-tokyo.ac.jp/collection/degitalgallary/ryukyu/item/20055", "https://www.hi.u-tokyo.ac.jp/collection/degitalgallary/ryukyu/item/20055")</f>
        <v/>
      </c>
    </row>
    <row r="57">
      <c r="A57" t="inlineStr">
        <is>
          <t>20056</t>
        </is>
      </c>
      <c r="B57" t="inlineStr">
        <is>
          <t>計羅摩嶋
嶋廻三里
弐百三石</t>
        </is>
      </c>
      <c r="C57" t="inlineStr">
        <is>
          <t>島</t>
        </is>
      </c>
      <c r="D57" t="inlineStr">
        <is>
          <t>26.1926087</t>
        </is>
      </c>
      <c r="E57" t="inlineStr">
        <is>
          <t>127.3569171</t>
        </is>
      </c>
      <c r="F57" t="inlineStr">
        <is>
          <t>正保琉球国悪鬼納島絵図写</t>
        </is>
      </c>
      <c r="G57" t="inlineStr"/>
      <c r="H57" t="inlineStr"/>
      <c r="I57" t="inlineStr">
        <is>
          <t>〔51〕</t>
        </is>
      </c>
      <c r="J57" t="inlineStr"/>
      <c r="K57" t="inlineStr">
        <is>
          <t>沖縄県島尻郡渡嘉敷村渡嘉敷</t>
        </is>
      </c>
      <c r="L57" s="1">
        <f>HYPERLINK("https://www.hi.u-tokyo.ac.jp/collection/degitalgallary/ryukyu/item/20056", "https://www.hi.u-tokyo.ac.jp/collection/degitalgallary/ryukyu/item/20056")</f>
        <v/>
      </c>
    </row>
    <row r="58">
      <c r="A58" t="inlineStr">
        <is>
          <t>20057</t>
        </is>
      </c>
      <c r="B58" t="inlineStr">
        <is>
          <t>座間味嶋</t>
        </is>
      </c>
      <c r="C58" t="inlineStr">
        <is>
          <t>島</t>
        </is>
      </c>
      <c r="D58" t="inlineStr">
        <is>
          <t>26.233338</t>
        </is>
      </c>
      <c r="E58" t="inlineStr">
        <is>
          <t>127.3052262</t>
        </is>
      </c>
      <c r="F58" t="inlineStr">
        <is>
          <t>正保琉球国悪鬼納島絵図写</t>
        </is>
      </c>
      <c r="G58" t="inlineStr">
        <is>
          <t>嶋廻一り廿弐町
けらま嶋之内
人居有</t>
        </is>
      </c>
      <c r="H58" t="inlineStr"/>
      <c r="I58" t="inlineStr">
        <is>
          <t>〔52〕</t>
        </is>
      </c>
      <c r="J58" t="inlineStr"/>
      <c r="K58" t="inlineStr">
        <is>
          <t>沖縄県島尻郡座間味村阿佐</t>
        </is>
      </c>
      <c r="L58" s="1">
        <f>HYPERLINK("https://www.hi.u-tokyo.ac.jp/collection/degitalgallary/ryukyu/item/20057", "https://www.hi.u-tokyo.ac.jp/collection/degitalgallary/ryukyu/item/20057")</f>
        <v/>
      </c>
    </row>
    <row r="59">
      <c r="A59" t="inlineStr">
        <is>
          <t>20058</t>
        </is>
      </c>
      <c r="B59" t="inlineStr">
        <is>
          <t>赤嶋</t>
        </is>
      </c>
      <c r="C59" t="inlineStr">
        <is>
          <t>島</t>
        </is>
      </c>
      <c r="D59" t="inlineStr">
        <is>
          <t>26.2010396</t>
        </is>
      </c>
      <c r="E59" t="inlineStr">
        <is>
          <t>127.2784835</t>
        </is>
      </c>
      <c r="F59" t="inlineStr">
        <is>
          <t>正保琉球国悪鬼納島絵図写</t>
        </is>
      </c>
      <c r="G59" t="inlineStr">
        <is>
          <t>嶋廻一里十八町
けらま嶋之内
人居有</t>
        </is>
      </c>
      <c r="H59" t="inlineStr"/>
      <c r="I59" t="inlineStr">
        <is>
          <t>〔53〕</t>
        </is>
      </c>
      <c r="J59" t="inlineStr"/>
      <c r="K59" t="inlineStr">
        <is>
          <t>沖縄県島尻郡座間味村阿嘉</t>
        </is>
      </c>
      <c r="L59" s="1">
        <f>HYPERLINK("https://www.hi.u-tokyo.ac.jp/collection/degitalgallary/ryukyu/item/20058", "https://www.hi.u-tokyo.ac.jp/collection/degitalgallary/ryukyu/item/20058")</f>
        <v/>
      </c>
    </row>
    <row r="60">
      <c r="A60" t="inlineStr">
        <is>
          <t>20059</t>
        </is>
      </c>
      <c r="B60" t="inlineStr">
        <is>
          <t>戸無嶋
四拾五石一斗
嶋廻壱里六町</t>
        </is>
      </c>
      <c r="C60" t="inlineStr">
        <is>
          <t>島</t>
        </is>
      </c>
      <c r="D60" t="inlineStr">
        <is>
          <t>26.362571</t>
        </is>
      </c>
      <c r="E60" t="inlineStr">
        <is>
          <t>127.1446201</t>
        </is>
      </c>
      <c r="F60" t="inlineStr">
        <is>
          <t>正保琉球国悪鬼納島絵図写</t>
        </is>
      </c>
      <c r="G60" t="inlineStr"/>
      <c r="H60" t="inlineStr"/>
      <c r="I60" t="inlineStr">
        <is>
          <t>〔54〕</t>
        </is>
      </c>
      <c r="J60" t="inlineStr"/>
      <c r="K60" t="inlineStr">
        <is>
          <t>沖縄県島尻郡渡名喜村</t>
        </is>
      </c>
      <c r="L60" s="1">
        <f>HYPERLINK("https://www.hi.u-tokyo.ac.jp/collection/degitalgallary/ryukyu/item/20059", "https://www.hi.u-tokyo.ac.jp/collection/degitalgallary/ryukyu/item/20059")</f>
        <v/>
      </c>
    </row>
    <row r="61">
      <c r="A61" t="inlineStr">
        <is>
          <t>20060</t>
        </is>
      </c>
      <c r="B61" t="inlineStr">
        <is>
          <t>粟嶋
七百廿七石四斗
嶋廻弐里拾弐町</t>
        </is>
      </c>
      <c r="C61" t="inlineStr">
        <is>
          <t>島</t>
        </is>
      </c>
      <c r="D61" t="inlineStr">
        <is>
          <t>26.5890557</t>
        </is>
      </c>
      <c r="E61" t="inlineStr">
        <is>
          <t>127.2383506</t>
        </is>
      </c>
      <c r="F61" t="inlineStr">
        <is>
          <t>正保琉球国悪鬼納島絵図写</t>
        </is>
      </c>
      <c r="G61" t="inlineStr"/>
      <c r="H61" t="inlineStr"/>
      <c r="I61" t="inlineStr">
        <is>
          <t>〔55〕</t>
        </is>
      </c>
      <c r="J61" t="inlineStr"/>
      <c r="K61" t="inlineStr">
        <is>
          <t>沖縄県島尻郡粟国村東</t>
        </is>
      </c>
      <c r="L61" s="1">
        <f>HYPERLINK("https://www.hi.u-tokyo.ac.jp/collection/degitalgallary/ryukyu/item/20060", "https://www.hi.u-tokyo.ac.jp/collection/degitalgallary/ryukyu/item/20060")</f>
        <v/>
      </c>
    </row>
    <row r="62">
      <c r="A62" t="inlineStr">
        <is>
          <t>20061</t>
        </is>
      </c>
      <c r="B62" t="inlineStr">
        <is>
          <t>具志川間切</t>
        </is>
      </c>
      <c r="C62" t="inlineStr">
        <is>
          <t>間切</t>
        </is>
      </c>
      <c r="D62" t="inlineStr">
        <is>
          <t>26.3786847</t>
        </is>
      </c>
      <c r="E62" t="inlineStr">
        <is>
          <t>127.8574931</t>
        </is>
      </c>
      <c r="F62" t="inlineStr">
        <is>
          <t>正保琉球国悪鬼納島絵図写</t>
        </is>
      </c>
      <c r="G62" t="inlineStr">
        <is>
          <t>千七百四拾六石余</t>
        </is>
      </c>
      <c r="H62" t="inlineStr"/>
      <c r="I62" t="inlineStr">
        <is>
          <t>〔56〕</t>
        </is>
      </c>
      <c r="J62" t="inlineStr">
        <is>
          <t>30020480000099400</t>
        </is>
      </c>
      <c r="K62" t="inlineStr">
        <is>
          <t>沖縄県うるま市みどり町</t>
        </is>
      </c>
      <c r="L62" s="1">
        <f>HYPERLINK("https://www.hi.u-tokyo.ac.jp/collection/degitalgallary/ryukyu/item/20061", "https://www.hi.u-tokyo.ac.jp/collection/degitalgallary/ryukyu/item/20061")</f>
        <v/>
      </c>
    </row>
    <row r="63">
      <c r="A63" t="inlineStr">
        <is>
          <t>20062</t>
        </is>
      </c>
      <c r="B63" t="inlineStr">
        <is>
          <t>中城間切</t>
        </is>
      </c>
      <c r="C63" t="inlineStr">
        <is>
          <t>間切</t>
        </is>
      </c>
      <c r="D63" t="inlineStr"/>
      <c r="E63" t="inlineStr"/>
      <c r="F63" t="inlineStr">
        <is>
          <t>正保琉球国悪鬼納島絵図写</t>
        </is>
      </c>
      <c r="G63" t="inlineStr">
        <is>
          <t>千九百卅一石余</t>
        </is>
      </c>
      <c r="H63" t="inlineStr"/>
      <c r="I63" t="inlineStr">
        <is>
          <t>〔57〕</t>
        </is>
      </c>
      <c r="J63" t="inlineStr">
        <is>
          <t>30020480000081900</t>
        </is>
      </c>
      <c r="K63" t="inlineStr"/>
      <c r="L63" s="1">
        <f>HYPERLINK("https://www.hi.u-tokyo.ac.jp/collection/degitalgallary/ryukyu/item/20062", "https://www.hi.u-tokyo.ac.jp/collection/degitalgallary/ryukyu/item/20062")</f>
        <v/>
      </c>
    </row>
    <row r="64">
      <c r="A64" t="inlineStr">
        <is>
          <t>20063</t>
        </is>
      </c>
      <c r="B64" t="inlineStr">
        <is>
          <t>中城間切之内嶋尻村</t>
        </is>
      </c>
      <c r="C64" t="inlineStr">
        <is>
          <t>村</t>
        </is>
      </c>
      <c r="D64" t="inlineStr">
        <is>
          <t>24.8691441</t>
        </is>
      </c>
      <c r="E64" t="inlineStr">
        <is>
          <t>125.2958607</t>
        </is>
      </c>
      <c r="F64" t="inlineStr">
        <is>
          <t>正保琉球国悪鬼納島絵図写</t>
        </is>
      </c>
      <c r="G64" t="inlineStr">
        <is>
          <t>中城間切之内</t>
        </is>
      </c>
      <c r="H64" t="inlineStr"/>
      <c r="I64" t="inlineStr">
        <is>
          <t>〔58〕</t>
        </is>
      </c>
      <c r="J64" t="inlineStr"/>
      <c r="K64" t="inlineStr">
        <is>
          <t>沖縄県宮古島市平良島尻</t>
        </is>
      </c>
      <c r="L64" s="1">
        <f>HYPERLINK("https://www.hi.u-tokyo.ac.jp/collection/degitalgallary/ryukyu/item/20063", "https://www.hi.u-tokyo.ac.jp/collection/degitalgallary/ryukyu/item/20063")</f>
        <v/>
      </c>
    </row>
    <row r="65">
      <c r="A65" t="inlineStr">
        <is>
          <t>20064</t>
        </is>
      </c>
      <c r="B65" t="inlineStr">
        <is>
          <t>鳥嶋</t>
        </is>
      </c>
      <c r="C65" t="inlineStr">
        <is>
          <t>島</t>
        </is>
      </c>
      <c r="D65" t="inlineStr">
        <is>
          <t>27.8722757</t>
        </is>
      </c>
      <c r="E65" t="inlineStr">
        <is>
          <t>128.2295645</t>
        </is>
      </c>
      <c r="F65" t="inlineStr">
        <is>
          <t>正保琉球国悪鬼納島絵図写</t>
        </is>
      </c>
      <c r="G65" t="inlineStr">
        <is>
          <t>人居有
嶋廻廿四町</t>
        </is>
      </c>
      <c r="H65" t="inlineStr"/>
      <c r="I65" t="inlineStr">
        <is>
          <t>1</t>
        </is>
      </c>
      <c r="J65" t="inlineStr"/>
      <c r="K65" t="inlineStr">
        <is>
          <t>沖縄県島尻郡久米島町鳥島</t>
        </is>
      </c>
      <c r="L65" s="1">
        <f>HYPERLINK("https://www.hi.u-tokyo.ac.jp/collection/degitalgallary/ryukyu/item/20064", "https://www.hi.u-tokyo.ac.jp/collection/degitalgallary/ryukyu/item/20064")</f>
        <v/>
      </c>
    </row>
    <row r="66">
      <c r="A66" t="inlineStr">
        <is>
          <t>20065</t>
        </is>
      </c>
      <c r="B66" t="inlineStr">
        <is>
          <t>船かゝり不成</t>
        </is>
      </c>
      <c r="C66" t="inlineStr">
        <is>
          <t>港湾</t>
        </is>
      </c>
      <c r="D66" t="inlineStr"/>
      <c r="E66" t="inlineStr"/>
      <c r="F66" t="inlineStr">
        <is>
          <t>正保琉球国悪鬼納島絵図写</t>
        </is>
      </c>
      <c r="G66" t="inlineStr"/>
      <c r="H66" t="inlineStr"/>
      <c r="I66" t="inlineStr">
        <is>
          <t>2</t>
        </is>
      </c>
      <c r="J66" t="inlineStr"/>
      <c r="K66" t="inlineStr"/>
      <c r="L66" s="1">
        <f>HYPERLINK("https://www.hi.u-tokyo.ac.jp/collection/degitalgallary/ryukyu/item/20065", "https://www.hi.u-tokyo.ac.jp/collection/degitalgallary/ryukyu/item/20065")</f>
        <v/>
      </c>
    </row>
    <row r="67">
      <c r="A67" t="inlineStr">
        <is>
          <t>20066</t>
        </is>
      </c>
      <c r="B67" t="inlineStr">
        <is>
          <t>恵平屋嶋ヨリ鳥嶋迄海上五拾四里子丑之間ニ当ル</t>
        </is>
      </c>
      <c r="C67" t="inlineStr">
        <is>
          <t>航路</t>
        </is>
      </c>
      <c r="D67" t="inlineStr"/>
      <c r="E67" t="inlineStr"/>
      <c r="F67" t="inlineStr">
        <is>
          <t>正保琉球国悪鬼納島絵図写</t>
        </is>
      </c>
      <c r="G67" t="inlineStr"/>
      <c r="H67" t="inlineStr"/>
      <c r="I67" t="inlineStr">
        <is>
          <t>3</t>
        </is>
      </c>
      <c r="J67" t="inlineStr"/>
      <c r="K67" t="inlineStr"/>
      <c r="L67" s="1">
        <f>HYPERLINK("https://www.hi.u-tokyo.ac.jp/collection/degitalgallary/ryukyu/item/20066", "https://www.hi.u-tokyo.ac.jp/collection/degitalgallary/ryukyu/item/20066")</f>
        <v/>
      </c>
    </row>
    <row r="68">
      <c r="A68" t="inlineStr">
        <is>
          <t>20067</t>
        </is>
      </c>
      <c r="B68" t="inlineStr">
        <is>
          <t>かな崎</t>
        </is>
      </c>
      <c r="C68" t="inlineStr">
        <is>
          <t>崎</t>
        </is>
      </c>
      <c r="D68" t="inlineStr">
        <is>
          <t>27.092854</t>
        </is>
      </c>
      <c r="E68" t="inlineStr">
        <is>
          <t>128.021895</t>
        </is>
      </c>
      <c r="F68" t="inlineStr">
        <is>
          <t>正保琉球国悪鬼納島絵図写</t>
        </is>
      </c>
      <c r="G68" t="inlineStr"/>
      <c r="H68" t="inlineStr"/>
      <c r="I68" t="inlineStr">
        <is>
          <t>4</t>
        </is>
      </c>
      <c r="J68" t="inlineStr"/>
      <c r="K68" t="inlineStr">
        <is>
          <t>沖縄県島尻郡伊平屋村</t>
        </is>
      </c>
      <c r="L68" s="1">
        <f>HYPERLINK("https://www.hi.u-tokyo.ac.jp/collection/degitalgallary/ryukyu/item/20067", "https://www.hi.u-tokyo.ac.jp/collection/degitalgallary/ryukyu/item/20067")</f>
        <v/>
      </c>
    </row>
    <row r="69">
      <c r="A69" t="inlineStr">
        <is>
          <t>20068</t>
        </is>
      </c>
      <c r="B69" t="inlineStr">
        <is>
          <t>船かゝり不成</t>
        </is>
      </c>
      <c r="C69" t="inlineStr">
        <is>
          <t>港湾</t>
        </is>
      </c>
      <c r="D69" t="inlineStr"/>
      <c r="E69" t="inlineStr"/>
      <c r="F69" t="inlineStr">
        <is>
          <t>正保琉球国悪鬼納島絵図写</t>
        </is>
      </c>
      <c r="G69" t="inlineStr"/>
      <c r="H69" t="inlineStr"/>
      <c r="I69" t="inlineStr">
        <is>
          <t>5</t>
        </is>
      </c>
      <c r="J69" t="inlineStr"/>
      <c r="K69" t="inlineStr"/>
      <c r="L69" s="1">
        <f>HYPERLINK("https://www.hi.u-tokyo.ac.jp/collection/degitalgallary/ryukyu/item/20068", "https://www.hi.u-tokyo.ac.jp/collection/degitalgallary/ryukyu/item/20068")</f>
        <v/>
      </c>
    </row>
    <row r="70">
      <c r="A70" t="inlineStr">
        <is>
          <t>20069</t>
        </is>
      </c>
      <c r="B70" t="inlineStr">
        <is>
          <t>此間五町</t>
        </is>
      </c>
      <c r="C70" t="inlineStr">
        <is>
          <t>その他</t>
        </is>
      </c>
      <c r="D70" t="inlineStr"/>
      <c r="E70" t="inlineStr"/>
      <c r="F70" t="inlineStr">
        <is>
          <t>正保琉球国悪鬼納島絵図写</t>
        </is>
      </c>
      <c r="G70" t="inlineStr"/>
      <c r="H70" t="inlineStr"/>
      <c r="I70" t="inlineStr">
        <is>
          <t>6</t>
        </is>
      </c>
      <c r="J70" t="inlineStr"/>
      <c r="K70" t="inlineStr"/>
      <c r="L70" s="1">
        <f>HYPERLINK("https://www.hi.u-tokyo.ac.jp/collection/degitalgallary/ryukyu/item/20069", "https://www.hi.u-tokyo.ac.jp/collection/degitalgallary/ryukyu/item/20069")</f>
        <v/>
      </c>
    </row>
    <row r="71">
      <c r="A71" t="inlineStr">
        <is>
          <t>20070</t>
        </is>
      </c>
      <c r="B71" t="inlineStr">
        <is>
          <t>恵平屋嶋ゟ具志川嶋間、壱里</t>
        </is>
      </c>
      <c r="C71" t="inlineStr">
        <is>
          <t>その他</t>
        </is>
      </c>
      <c r="D71" t="inlineStr">
        <is>
          <t>27.0384936</t>
        </is>
      </c>
      <c r="E71" t="inlineStr">
        <is>
          <t>127.9686378</t>
        </is>
      </c>
      <c r="F71" t="inlineStr">
        <is>
          <t>正保琉球国悪鬼納島絵図写</t>
        </is>
      </c>
      <c r="G71" t="inlineStr"/>
      <c r="H71" t="inlineStr"/>
      <c r="I71" t="inlineStr">
        <is>
          <t>7</t>
        </is>
      </c>
      <c r="J71" t="inlineStr"/>
      <c r="K71" t="inlineStr">
        <is>
          <t>沖縄県島尻郡伊平屋村我喜屋</t>
        </is>
      </c>
      <c r="L71" s="1">
        <f>HYPERLINK("https://www.hi.u-tokyo.ac.jp/collection/degitalgallary/ryukyu/item/20070", "https://www.hi.u-tokyo.ac.jp/collection/degitalgallary/ryukyu/item/20070")</f>
        <v/>
      </c>
    </row>
    <row r="72">
      <c r="A72" t="inlineStr">
        <is>
          <t>20071</t>
        </is>
      </c>
      <c r="B72" t="inlineStr">
        <is>
          <t>のほ嶋</t>
        </is>
      </c>
      <c r="C72" t="inlineStr">
        <is>
          <t>島</t>
        </is>
      </c>
      <c r="D72" t="inlineStr">
        <is>
          <t>26.9952591</t>
        </is>
      </c>
      <c r="E72" t="inlineStr">
        <is>
          <t>127.920554</t>
        </is>
      </c>
      <c r="F72" t="inlineStr">
        <is>
          <t>正保琉球国悪鬼納島絵図写</t>
        </is>
      </c>
      <c r="G72" t="inlineStr">
        <is>
          <t>恵平屋嶋之内、人居有、嶋廻廿三町</t>
        </is>
      </c>
      <c r="H72" t="inlineStr"/>
      <c r="I72" t="inlineStr">
        <is>
          <t>8</t>
        </is>
      </c>
      <c r="J72" t="inlineStr"/>
      <c r="K72" t="inlineStr">
        <is>
          <t>沖縄県島尻郡伊平屋村野甫</t>
        </is>
      </c>
      <c r="L72" s="1">
        <f>HYPERLINK("https://www.hi.u-tokyo.ac.jp/collection/degitalgallary/ryukyu/item/20071", "https://www.hi.u-tokyo.ac.jp/collection/degitalgallary/ryukyu/item/20071")</f>
        <v/>
      </c>
    </row>
    <row r="73">
      <c r="A73" t="inlineStr">
        <is>
          <t>20072</t>
        </is>
      </c>
      <c r="B73" t="inlineStr">
        <is>
          <t>伊是那嶋ヨリのほ嶋間、廿六町</t>
        </is>
      </c>
      <c r="C73" t="inlineStr">
        <is>
          <t>その他</t>
        </is>
      </c>
      <c r="D73" t="inlineStr"/>
      <c r="E73" t="inlineStr"/>
      <c r="F73" t="inlineStr">
        <is>
          <t>正保琉球国悪鬼納島絵図写</t>
        </is>
      </c>
      <c r="G73" t="inlineStr"/>
      <c r="H73" t="inlineStr"/>
      <c r="I73" t="inlineStr">
        <is>
          <t>9</t>
        </is>
      </c>
      <c r="J73" t="inlineStr"/>
      <c r="K73" t="inlineStr"/>
      <c r="L73" s="1">
        <f>HYPERLINK("https://www.hi.u-tokyo.ac.jp/collection/degitalgallary/ryukyu/item/20072", "https://www.hi.u-tokyo.ac.jp/collection/degitalgallary/ryukyu/item/20072")</f>
        <v/>
      </c>
    </row>
    <row r="74">
      <c r="A74" t="inlineStr">
        <is>
          <t>20073</t>
        </is>
      </c>
      <c r="B74" t="inlineStr">
        <is>
          <t>具志川嶋</t>
        </is>
      </c>
      <c r="C74" t="inlineStr">
        <is>
          <t>島</t>
        </is>
      </c>
      <c r="D74" t="inlineStr">
        <is>
          <t>26.975864</t>
        </is>
      </c>
      <c r="E74" t="inlineStr">
        <is>
          <t>127.9499853</t>
        </is>
      </c>
      <c r="F74" t="inlineStr">
        <is>
          <t>正保琉球国悪鬼納島絵図写</t>
        </is>
      </c>
      <c r="G74" t="inlineStr">
        <is>
          <t>伊是那嶋之内、人居なし</t>
        </is>
      </c>
      <c r="H74" t="inlineStr"/>
      <c r="I74" t="inlineStr">
        <is>
          <t>10</t>
        </is>
      </c>
      <c r="J74" t="inlineStr"/>
      <c r="K74" t="inlineStr">
        <is>
          <t>沖縄県島尻郡伊是名村諸見</t>
        </is>
      </c>
      <c r="L74" s="1">
        <f>HYPERLINK("https://www.hi.u-tokyo.ac.jp/collection/degitalgallary/ryukyu/item/20073", "https://www.hi.u-tokyo.ac.jp/collection/degitalgallary/ryukyu/item/20073")</f>
        <v/>
      </c>
    </row>
    <row r="75">
      <c r="A75" t="inlineStr">
        <is>
          <t>20074</t>
        </is>
      </c>
      <c r="B75" t="inlineStr">
        <is>
          <t>此間廿町</t>
        </is>
      </c>
      <c r="C75" t="inlineStr">
        <is>
          <t>その他</t>
        </is>
      </c>
      <c r="D75" t="inlineStr"/>
      <c r="E75" t="inlineStr"/>
      <c r="F75" t="inlineStr">
        <is>
          <t>正保琉球国悪鬼納島絵図写</t>
        </is>
      </c>
      <c r="G75" t="inlineStr"/>
      <c r="H75" t="inlineStr"/>
      <c r="I75" t="inlineStr">
        <is>
          <t>11</t>
        </is>
      </c>
      <c r="J75" t="inlineStr"/>
      <c r="K75" t="inlineStr"/>
      <c r="L75" s="1">
        <f>HYPERLINK("https://www.hi.u-tokyo.ac.jp/collection/degitalgallary/ryukyu/item/20074", "https://www.hi.u-tokyo.ac.jp/collection/degitalgallary/ryukyu/item/20074")</f>
        <v/>
      </c>
    </row>
    <row r="76">
      <c r="A76" t="inlineStr">
        <is>
          <t>20075</t>
        </is>
      </c>
      <c r="B76" t="inlineStr">
        <is>
          <t>此間廿町</t>
        </is>
      </c>
      <c r="C76" t="inlineStr">
        <is>
          <t>その他</t>
        </is>
      </c>
      <c r="D76" t="inlineStr"/>
      <c r="E76" t="inlineStr"/>
      <c r="F76" t="inlineStr">
        <is>
          <t>正保琉球国悪鬼納島絵図写</t>
        </is>
      </c>
      <c r="G76" t="inlineStr"/>
      <c r="H76" t="inlineStr"/>
      <c r="I76" t="inlineStr">
        <is>
          <t>12</t>
        </is>
      </c>
      <c r="J76" t="inlineStr"/>
      <c r="K76" t="inlineStr"/>
      <c r="L76" s="1">
        <f>HYPERLINK("https://www.hi.u-tokyo.ac.jp/collection/degitalgallary/ryukyu/item/20075", "https://www.hi.u-tokyo.ac.jp/collection/degitalgallary/ryukyu/item/20075")</f>
        <v/>
      </c>
    </row>
    <row r="77">
      <c r="A77" t="inlineStr">
        <is>
          <t>20076</t>
        </is>
      </c>
      <c r="B77" t="inlineStr">
        <is>
          <t>やなは嶋</t>
        </is>
      </c>
      <c r="C77" t="inlineStr">
        <is>
          <t>島</t>
        </is>
      </c>
      <c r="D77" t="inlineStr">
        <is>
          <t>26.8982796</t>
        </is>
      </c>
      <c r="E77" t="inlineStr">
        <is>
          <t>127.9241506</t>
        </is>
      </c>
      <c r="F77" t="inlineStr">
        <is>
          <t>正保琉球国悪鬼納島絵図写</t>
        </is>
      </c>
      <c r="G77" t="inlineStr">
        <is>
          <t>伊是那嶋之内、人居なし</t>
        </is>
      </c>
      <c r="H77" t="inlineStr"/>
      <c r="I77" t="inlineStr">
        <is>
          <t>13</t>
        </is>
      </c>
      <c r="J77" t="inlineStr"/>
      <c r="K77" t="inlineStr">
        <is>
          <t>沖縄県島尻郡伊是名村伊是名</t>
        </is>
      </c>
      <c r="L77" s="1">
        <f>HYPERLINK("https://www.hi.u-tokyo.ac.jp/collection/degitalgallary/ryukyu/item/20076", "https://www.hi.u-tokyo.ac.jp/collection/degitalgallary/ryukyu/item/20076")</f>
        <v/>
      </c>
    </row>
    <row r="78">
      <c r="A78" t="inlineStr">
        <is>
          <t>20077</t>
        </is>
      </c>
      <c r="B78" t="inlineStr">
        <is>
          <t>によは入江ヨリ恵平屋嶋迄、海上拾里丑之方ニ当ル</t>
        </is>
      </c>
      <c r="C78" t="inlineStr">
        <is>
          <t>航路</t>
        </is>
      </c>
      <c r="D78" t="inlineStr"/>
      <c r="E78" t="inlineStr"/>
      <c r="F78" t="inlineStr">
        <is>
          <t>正保琉球国悪鬼納島絵図写</t>
        </is>
      </c>
      <c r="G78" t="inlineStr"/>
      <c r="H78" t="inlineStr"/>
      <c r="I78" t="inlineStr">
        <is>
          <t>14</t>
        </is>
      </c>
      <c r="J78" t="inlineStr"/>
      <c r="K78" t="inlineStr"/>
      <c r="L78" s="1">
        <f>HYPERLINK("https://www.hi.u-tokyo.ac.jp/collection/degitalgallary/ryukyu/item/20077", "https://www.hi.u-tokyo.ac.jp/collection/degitalgallary/ryukyu/item/20077")</f>
        <v/>
      </c>
    </row>
    <row r="79">
      <c r="A79" t="inlineStr">
        <is>
          <t>20078</t>
        </is>
      </c>
      <c r="B79" t="inlineStr">
        <is>
          <t>（合印）</t>
        </is>
      </c>
      <c r="C79" t="inlineStr">
        <is>
          <t>その他</t>
        </is>
      </c>
      <c r="D79" t="inlineStr"/>
      <c r="E79" t="inlineStr"/>
      <c r="F79" t="inlineStr">
        <is>
          <t>正保琉球国悪鬼納島絵図写</t>
        </is>
      </c>
      <c r="G79" t="inlineStr"/>
      <c r="H79" t="inlineStr">
        <is>
          <t>◇</t>
        </is>
      </c>
      <c r="I79" t="inlineStr"/>
      <c r="J79" t="inlineStr"/>
      <c r="K79" t="inlineStr"/>
      <c r="L79" s="1">
        <f>HYPERLINK("https://www.hi.u-tokyo.ac.jp/collection/degitalgallary/ryukyu/item/20078", "https://www.hi.u-tokyo.ac.jp/collection/degitalgallary/ryukyu/item/20078")</f>
        <v/>
      </c>
    </row>
    <row r="80">
      <c r="A80" t="inlineStr">
        <is>
          <t>20079</t>
        </is>
      </c>
      <c r="B80" t="inlineStr">
        <is>
          <t>運天湊ヨリ与論嶋之内あがさ泊迄、海上廿里丑寅之方ニ当ル、此渡昼夜共ニ汐東へ落ル</t>
        </is>
      </c>
      <c r="C80" t="inlineStr">
        <is>
          <t>航路</t>
        </is>
      </c>
      <c r="D80" t="inlineStr"/>
      <c r="E80" t="inlineStr"/>
      <c r="F80" t="inlineStr">
        <is>
          <t>正保琉球国悪鬼納島絵図写</t>
        </is>
      </c>
      <c r="G80" t="inlineStr"/>
      <c r="H80" t="inlineStr"/>
      <c r="I80" t="inlineStr">
        <is>
          <t>15</t>
        </is>
      </c>
      <c r="J80" t="inlineStr"/>
      <c r="K80" t="inlineStr"/>
      <c r="L80" s="1">
        <f>HYPERLINK("https://www.hi.u-tokyo.ac.jp/collection/degitalgallary/ryukyu/item/20079", "https://www.hi.u-tokyo.ac.jp/collection/degitalgallary/ryukyu/item/20079")</f>
        <v/>
      </c>
    </row>
    <row r="81">
      <c r="A81" t="inlineStr">
        <is>
          <t>20080</t>
        </is>
      </c>
      <c r="B81" t="inlineStr">
        <is>
          <t>歩渡り</t>
        </is>
      </c>
      <c r="C81" t="inlineStr">
        <is>
          <t>渡河点</t>
        </is>
      </c>
      <c r="D81" t="inlineStr"/>
      <c r="E81" t="inlineStr"/>
      <c r="F81" t="inlineStr">
        <is>
          <t>正保琉球国悪鬼納島絵図写</t>
        </is>
      </c>
      <c r="G81" t="inlineStr"/>
      <c r="H81" t="inlineStr"/>
      <c r="I81" t="inlineStr">
        <is>
          <t>（番号なし）</t>
        </is>
      </c>
      <c r="J81" t="inlineStr"/>
      <c r="K81" t="inlineStr"/>
      <c r="L81" s="1">
        <f>HYPERLINK("https://www.hi.u-tokyo.ac.jp/collection/degitalgallary/ryukyu/item/20080", "https://www.hi.u-tokyo.ac.jp/collection/degitalgallary/ryukyu/item/20080")</f>
        <v/>
      </c>
    </row>
    <row r="82">
      <c r="A82" t="inlineStr">
        <is>
          <t>20081</t>
        </is>
      </c>
      <c r="B82" t="inlineStr">
        <is>
          <t>へと崎</t>
        </is>
      </c>
      <c r="C82" t="inlineStr">
        <is>
          <t>崎</t>
        </is>
      </c>
      <c r="D82" t="inlineStr">
        <is>
          <t>26.8721096</t>
        </is>
      </c>
      <c r="E82" t="inlineStr">
        <is>
          <t>128.2647157</t>
        </is>
      </c>
      <c r="F82" t="inlineStr">
        <is>
          <t>正保琉球国悪鬼納島絵図写</t>
        </is>
      </c>
      <c r="G82" t="inlineStr"/>
      <c r="H82" t="inlineStr"/>
      <c r="I82" t="inlineStr">
        <is>
          <t>16</t>
        </is>
      </c>
      <c r="J82" t="inlineStr"/>
      <c r="K82" t="inlineStr">
        <is>
          <t>沖縄県国頭郡国頭村辺戸</t>
        </is>
      </c>
      <c r="L82" s="1">
        <f>HYPERLINK("https://www.hi.u-tokyo.ac.jp/collection/degitalgallary/ryukyu/item/20081", "https://www.hi.u-tokyo.ac.jp/collection/degitalgallary/ryukyu/item/20081")</f>
        <v/>
      </c>
    </row>
    <row r="83">
      <c r="A83" t="inlineStr">
        <is>
          <t>20082</t>
        </is>
      </c>
      <c r="B83" t="inlineStr">
        <is>
          <t>赤崎</t>
        </is>
      </c>
      <c r="C83" t="inlineStr">
        <is>
          <t>崎</t>
        </is>
      </c>
      <c r="D83" t="inlineStr"/>
      <c r="E83" t="inlineStr"/>
      <c r="F83" t="inlineStr">
        <is>
          <t>正保琉球国悪鬼納島絵図写</t>
        </is>
      </c>
      <c r="G83" t="inlineStr"/>
      <c r="H83" t="inlineStr"/>
      <c r="I83" t="inlineStr">
        <is>
          <t>17</t>
        </is>
      </c>
      <c r="J83" t="inlineStr"/>
      <c r="K83" t="inlineStr"/>
      <c r="L83" s="1">
        <f>HYPERLINK("https://www.hi.u-tokyo.ac.jp/collection/degitalgallary/ryukyu/item/20082", "https://www.hi.u-tokyo.ac.jp/collection/degitalgallary/ryukyu/item/20082")</f>
        <v/>
      </c>
    </row>
    <row r="84">
      <c r="A84" t="inlineStr">
        <is>
          <t>20083</t>
        </is>
      </c>
      <c r="B84" t="inlineStr">
        <is>
          <t>歩渡り</t>
        </is>
      </c>
      <c r="C84" t="inlineStr">
        <is>
          <t>渡河点</t>
        </is>
      </c>
      <c r="D84" t="inlineStr"/>
      <c r="E84" t="inlineStr"/>
      <c r="F84" t="inlineStr">
        <is>
          <t>正保琉球国悪鬼納島絵図写</t>
        </is>
      </c>
      <c r="G84" t="inlineStr"/>
      <c r="H84" t="inlineStr"/>
      <c r="I84" t="inlineStr">
        <is>
          <t>18</t>
        </is>
      </c>
      <c r="J84" t="inlineStr"/>
      <c r="K84" t="inlineStr"/>
      <c r="L84" s="1">
        <f>HYPERLINK("https://www.hi.u-tokyo.ac.jp/collection/degitalgallary/ryukyu/item/20083", "https://www.hi.u-tokyo.ac.jp/collection/degitalgallary/ryukyu/item/20083")</f>
        <v/>
      </c>
    </row>
    <row r="85">
      <c r="A85" t="inlineStr">
        <is>
          <t>20084</t>
        </is>
      </c>
      <c r="B85" t="inlineStr">
        <is>
          <t>干潟</t>
        </is>
      </c>
      <c r="C85" t="inlineStr">
        <is>
          <t>渡河点</t>
        </is>
      </c>
      <c r="D85" t="inlineStr"/>
      <c r="E85" t="inlineStr"/>
      <c r="F85" t="inlineStr">
        <is>
          <t>正保琉球国悪鬼納島絵図写</t>
        </is>
      </c>
      <c r="G85" t="inlineStr"/>
      <c r="H85" t="inlineStr"/>
      <c r="I85" t="inlineStr">
        <is>
          <t>19</t>
        </is>
      </c>
      <c r="J85" t="inlineStr"/>
      <c r="K85" t="inlineStr"/>
      <c r="L85" s="1">
        <f>HYPERLINK("https://www.hi.u-tokyo.ac.jp/collection/degitalgallary/ryukyu/item/20084", "https://www.hi.u-tokyo.ac.jp/collection/degitalgallary/ryukyu/item/20084")</f>
        <v/>
      </c>
    </row>
    <row r="86">
      <c r="A86" t="inlineStr">
        <is>
          <t>20085</t>
        </is>
      </c>
      <c r="B86" t="inlineStr">
        <is>
          <t>干潟</t>
        </is>
      </c>
      <c r="C86" t="inlineStr">
        <is>
          <t>渡河点</t>
        </is>
      </c>
      <c r="D86" t="inlineStr"/>
      <c r="E86" t="inlineStr"/>
      <c r="F86" t="inlineStr">
        <is>
          <t>正保琉球国悪鬼納島絵図写</t>
        </is>
      </c>
      <c r="G86" t="inlineStr"/>
      <c r="H86" t="inlineStr"/>
      <c r="I86" t="inlineStr">
        <is>
          <t>20</t>
        </is>
      </c>
      <c r="J86" t="inlineStr"/>
      <c r="K86" t="inlineStr"/>
      <c r="L86" s="1">
        <f>HYPERLINK("https://www.hi.u-tokyo.ac.jp/collection/degitalgallary/ryukyu/item/20085", "https://www.hi.u-tokyo.ac.jp/collection/degitalgallary/ryukyu/item/20085")</f>
        <v/>
      </c>
    </row>
    <row r="87">
      <c r="A87" t="inlineStr">
        <is>
          <t>20086</t>
        </is>
      </c>
      <c r="B87" t="inlineStr">
        <is>
          <t>かつせの崎</t>
        </is>
      </c>
      <c r="C87" t="inlineStr">
        <is>
          <t>崎</t>
        </is>
      </c>
      <c r="D87" t="inlineStr">
        <is>
          <t>26.721202</t>
        </is>
      </c>
      <c r="E87" t="inlineStr">
        <is>
          <t>128.303326</t>
        </is>
      </c>
      <c r="F87" t="inlineStr">
        <is>
          <t>正保琉球国悪鬼納島絵図写</t>
        </is>
      </c>
      <c r="G87" t="inlineStr"/>
      <c r="H87" t="inlineStr"/>
      <c r="I87" t="inlineStr">
        <is>
          <t>21</t>
        </is>
      </c>
      <c r="J87" t="inlineStr"/>
      <c r="K87" t="inlineStr">
        <is>
          <t>沖縄県国頭郡国頭村安波</t>
        </is>
      </c>
      <c r="L87" s="1">
        <f>HYPERLINK("https://www.hi.u-tokyo.ac.jp/collection/degitalgallary/ryukyu/item/20086", "https://www.hi.u-tokyo.ac.jp/collection/degitalgallary/ryukyu/item/20086")</f>
        <v/>
      </c>
    </row>
    <row r="88">
      <c r="A88" t="inlineStr">
        <is>
          <t>20087</t>
        </is>
      </c>
      <c r="B88" t="inlineStr">
        <is>
          <t>四十三間舟渡り</t>
        </is>
      </c>
      <c r="C88" t="inlineStr">
        <is>
          <t>航路</t>
        </is>
      </c>
      <c r="D88" t="inlineStr"/>
      <c r="E88" t="inlineStr"/>
      <c r="F88" t="inlineStr">
        <is>
          <t>正保琉球国悪鬼納島絵図写</t>
        </is>
      </c>
      <c r="G88" t="inlineStr"/>
      <c r="H88" t="inlineStr"/>
      <c r="I88" t="inlineStr">
        <is>
          <t>22</t>
        </is>
      </c>
      <c r="J88" t="inlineStr"/>
      <c r="K88" t="inlineStr"/>
      <c r="L88" s="1">
        <f>HYPERLINK("https://www.hi.u-tokyo.ac.jp/collection/degitalgallary/ryukyu/item/20087", "https://www.hi.u-tokyo.ac.jp/collection/degitalgallary/ryukyu/item/20087")</f>
        <v/>
      </c>
    </row>
    <row r="89">
      <c r="A89" t="inlineStr">
        <is>
          <t>20088</t>
        </is>
      </c>
      <c r="B89" t="inlineStr">
        <is>
          <t>赤丸崎</t>
        </is>
      </c>
      <c r="C89" t="inlineStr">
        <is>
          <t>崎</t>
        </is>
      </c>
      <c r="D89" t="inlineStr">
        <is>
          <t>26.7457675</t>
        </is>
      </c>
      <c r="E89" t="inlineStr">
        <is>
          <t>128.1531653</t>
        </is>
      </c>
      <c r="F89" t="inlineStr">
        <is>
          <t>正保琉球国悪鬼納島絵図写</t>
        </is>
      </c>
      <c r="G89" t="inlineStr"/>
      <c r="H89" t="inlineStr"/>
      <c r="I89" t="inlineStr">
        <is>
          <t>23</t>
        </is>
      </c>
      <c r="J89" t="inlineStr"/>
      <c r="K89" t="inlineStr">
        <is>
          <t>沖縄県国頭郡国頭村辺土名</t>
        </is>
      </c>
      <c r="L89" s="1">
        <f>HYPERLINK("https://www.hi.u-tokyo.ac.jp/collection/degitalgallary/ryukyu/item/20088", "https://www.hi.u-tokyo.ac.jp/collection/degitalgallary/ryukyu/item/20088")</f>
        <v/>
      </c>
    </row>
    <row r="90">
      <c r="A90" t="inlineStr">
        <is>
          <t>20089</t>
        </is>
      </c>
      <c r="B90" t="inlineStr">
        <is>
          <t>歩渡り</t>
        </is>
      </c>
      <c r="C90" t="inlineStr">
        <is>
          <t>渡河点</t>
        </is>
      </c>
      <c r="D90" t="inlineStr"/>
      <c r="E90" t="inlineStr"/>
      <c r="F90" t="inlineStr">
        <is>
          <t>正保琉球国悪鬼納島絵図写</t>
        </is>
      </c>
      <c r="G90" t="inlineStr"/>
      <c r="H90" t="inlineStr"/>
      <c r="I90" t="inlineStr">
        <is>
          <t>24</t>
        </is>
      </c>
      <c r="J90" t="inlineStr"/>
      <c r="K90" t="inlineStr"/>
      <c r="L90" s="1">
        <f>HYPERLINK("https://www.hi.u-tokyo.ac.jp/collection/degitalgallary/ryukyu/item/20089", "https://www.hi.u-tokyo.ac.jp/collection/degitalgallary/ryukyu/item/20089")</f>
        <v/>
      </c>
    </row>
    <row r="91">
      <c r="A91" t="inlineStr">
        <is>
          <t>20090</t>
        </is>
      </c>
      <c r="B91" t="inlineStr">
        <is>
          <t>国頭間切大道ヨリあは村迄、三里廿五町廿間</t>
        </is>
      </c>
      <c r="C91" t="inlineStr">
        <is>
          <t>陸路</t>
        </is>
      </c>
      <c r="D91" t="inlineStr"/>
      <c r="E91" t="inlineStr"/>
      <c r="F91" t="inlineStr">
        <is>
          <t>正保琉球国悪鬼納島絵図写</t>
        </is>
      </c>
      <c r="G91" t="inlineStr"/>
      <c r="H91" t="inlineStr"/>
      <c r="I91" t="inlineStr">
        <is>
          <t>25</t>
        </is>
      </c>
      <c r="J91" t="inlineStr"/>
      <c r="K91" t="inlineStr"/>
      <c r="L91" s="1">
        <f>HYPERLINK("https://www.hi.u-tokyo.ac.jp/collection/degitalgallary/ryukyu/item/20090", "https://www.hi.u-tokyo.ac.jp/collection/degitalgallary/ryukyu/item/20090")</f>
        <v/>
      </c>
    </row>
    <row r="92">
      <c r="A92" t="inlineStr">
        <is>
          <t>20091</t>
        </is>
      </c>
      <c r="B92" t="inlineStr">
        <is>
          <t>歩渡り</t>
        </is>
      </c>
      <c r="C92" t="inlineStr">
        <is>
          <t>渡河点</t>
        </is>
      </c>
      <c r="D92" t="inlineStr"/>
      <c r="E92" t="inlineStr"/>
      <c r="F92" t="inlineStr">
        <is>
          <t>正保琉球国悪鬼納島絵図写</t>
        </is>
      </c>
      <c r="G92" t="inlineStr"/>
      <c r="H92" t="inlineStr"/>
      <c r="I92" t="inlineStr">
        <is>
          <t>26</t>
        </is>
      </c>
      <c r="J92" t="inlineStr"/>
      <c r="K92" t="inlineStr"/>
      <c r="L92" s="1">
        <f>HYPERLINK("https://www.hi.u-tokyo.ac.jp/collection/degitalgallary/ryukyu/item/20091", "https://www.hi.u-tokyo.ac.jp/collection/degitalgallary/ryukyu/item/20091")</f>
        <v/>
      </c>
    </row>
    <row r="93">
      <c r="A93" t="inlineStr">
        <is>
          <t>20092</t>
        </is>
      </c>
      <c r="B93" t="inlineStr">
        <is>
          <t>九町舟渡り</t>
        </is>
      </c>
      <c r="C93" t="inlineStr">
        <is>
          <t>航路</t>
        </is>
      </c>
      <c r="D93" t="inlineStr"/>
      <c r="E93" t="inlineStr"/>
      <c r="F93" t="inlineStr">
        <is>
          <t>正保琉球国悪鬼納島絵図写</t>
        </is>
      </c>
      <c r="G93" t="inlineStr"/>
      <c r="H93" t="inlineStr"/>
      <c r="I93" t="inlineStr">
        <is>
          <t>27</t>
        </is>
      </c>
      <c r="J93" t="inlineStr"/>
      <c r="K93" t="inlineStr"/>
      <c r="L93" s="1">
        <f>HYPERLINK("https://www.hi.u-tokyo.ac.jp/collection/degitalgallary/ryukyu/item/20092", "https://www.hi.u-tokyo.ac.jp/collection/degitalgallary/ryukyu/item/20092")</f>
        <v/>
      </c>
    </row>
    <row r="94">
      <c r="A94" t="inlineStr">
        <is>
          <t>20093</t>
        </is>
      </c>
      <c r="B94" t="inlineStr">
        <is>
          <t>いな城嶋</t>
        </is>
      </c>
      <c r="C94" t="inlineStr">
        <is>
          <t>島</t>
        </is>
      </c>
      <c r="D94" t="inlineStr">
        <is>
          <t>26.6677779</t>
        </is>
      </c>
      <c r="E94" t="inlineStr">
        <is>
          <t>128.1021454</t>
        </is>
      </c>
      <c r="F94" t="inlineStr">
        <is>
          <t>正保琉球国悪鬼納島絵図写</t>
        </is>
      </c>
      <c r="G94" t="inlineStr">
        <is>
          <t>人居なし</t>
        </is>
      </c>
      <c r="H94" t="inlineStr"/>
      <c r="I94" t="inlineStr">
        <is>
          <t>28</t>
        </is>
      </c>
      <c r="J94" t="inlineStr"/>
      <c r="K94" t="inlineStr">
        <is>
          <t>沖縄県国頭郡大宜味村宮城</t>
        </is>
      </c>
      <c r="L94" s="1">
        <f>HYPERLINK("https://www.hi.u-tokyo.ac.jp/collection/degitalgallary/ryukyu/item/20093", "https://www.hi.u-tokyo.ac.jp/collection/degitalgallary/ryukyu/item/20093")</f>
        <v/>
      </c>
    </row>
    <row r="95">
      <c r="A95" t="inlineStr">
        <is>
          <t>20094</t>
        </is>
      </c>
      <c r="B95" t="inlineStr">
        <is>
          <t>歩渡り</t>
        </is>
      </c>
      <c r="C95" t="inlineStr">
        <is>
          <t>渡河点</t>
        </is>
      </c>
      <c r="D95" t="inlineStr"/>
      <c r="E95" t="inlineStr"/>
      <c r="F95" t="inlineStr">
        <is>
          <t>正保琉球国悪鬼納島絵図写</t>
        </is>
      </c>
      <c r="G95" t="inlineStr"/>
      <c r="H95" t="inlineStr"/>
      <c r="I95" t="inlineStr">
        <is>
          <t>29</t>
        </is>
      </c>
      <c r="J95" t="inlineStr"/>
      <c r="K95" t="inlineStr"/>
      <c r="L95" s="1">
        <f>HYPERLINK("https://www.hi.u-tokyo.ac.jp/collection/degitalgallary/ryukyu/item/20094", "https://www.hi.u-tokyo.ac.jp/collection/degitalgallary/ryukyu/item/20094")</f>
        <v/>
      </c>
    </row>
    <row r="96">
      <c r="A96" t="inlineStr">
        <is>
          <t>20095</t>
        </is>
      </c>
      <c r="B96" t="inlineStr">
        <is>
          <t>歩渡り</t>
        </is>
      </c>
      <c r="C96" t="inlineStr">
        <is>
          <t>渡河点</t>
        </is>
      </c>
      <c r="D96" t="inlineStr"/>
      <c r="E96" t="inlineStr"/>
      <c r="F96" t="inlineStr">
        <is>
          <t>正保琉球国悪鬼納島絵図写</t>
        </is>
      </c>
      <c r="G96" t="inlineStr"/>
      <c r="H96" t="inlineStr"/>
      <c r="I96" t="inlineStr">
        <is>
          <t>30</t>
        </is>
      </c>
      <c r="J96" t="inlineStr"/>
      <c r="K96" t="inlineStr"/>
      <c r="L96" s="1">
        <f>HYPERLINK("https://www.hi.u-tokyo.ac.jp/collection/degitalgallary/ryukyu/item/20095", "https://www.hi.u-tokyo.ac.jp/collection/degitalgallary/ryukyu/item/20095")</f>
        <v/>
      </c>
    </row>
    <row r="97">
      <c r="A97" t="inlineStr">
        <is>
          <t>20096</t>
        </is>
      </c>
      <c r="B97" t="inlineStr">
        <is>
          <t>あぶ嶋</t>
        </is>
      </c>
      <c r="C97" t="inlineStr">
        <is>
          <t>島</t>
        </is>
      </c>
      <c r="D97" t="inlineStr">
        <is>
          <t>26.6393269</t>
        </is>
      </c>
      <c r="E97" t="inlineStr">
        <is>
          <t>128.0333847</t>
        </is>
      </c>
      <c r="F97" t="inlineStr">
        <is>
          <t>正保琉球国悪鬼納島絵図写</t>
        </is>
      </c>
      <c r="G97" t="inlineStr">
        <is>
          <t>人居なし</t>
        </is>
      </c>
      <c r="H97" t="inlineStr"/>
      <c r="I97" t="inlineStr">
        <is>
          <t>31</t>
        </is>
      </c>
      <c r="J97" t="inlineStr"/>
      <c r="K97" t="inlineStr">
        <is>
          <t>沖縄県名護市真喜屋</t>
        </is>
      </c>
      <c r="L97" s="1">
        <f>HYPERLINK("https://www.hi.u-tokyo.ac.jp/collection/degitalgallary/ryukyu/item/20096", "https://www.hi.u-tokyo.ac.jp/collection/degitalgallary/ryukyu/item/20096")</f>
        <v/>
      </c>
    </row>
    <row r="98">
      <c r="A98" t="inlineStr">
        <is>
          <t>20097</t>
        </is>
      </c>
      <c r="B98" t="inlineStr">
        <is>
          <t>川田村ヨリあは村迄、海上四里</t>
        </is>
      </c>
      <c r="C98" t="inlineStr">
        <is>
          <t>陸路</t>
        </is>
      </c>
      <c r="D98" t="inlineStr"/>
      <c r="E98" t="inlineStr"/>
      <c r="F98" t="inlineStr">
        <is>
          <t>正保琉球国悪鬼納島絵図写</t>
        </is>
      </c>
      <c r="G98" t="inlineStr"/>
      <c r="H98" t="inlineStr"/>
      <c r="I98" t="inlineStr">
        <is>
          <t>32</t>
        </is>
      </c>
      <c r="J98" t="inlineStr"/>
      <c r="K98" t="inlineStr"/>
      <c r="L98" s="1">
        <f>HYPERLINK("https://www.hi.u-tokyo.ac.jp/collection/degitalgallary/ryukyu/item/20097", "https://www.hi.u-tokyo.ac.jp/collection/degitalgallary/ryukyu/item/20097")</f>
        <v/>
      </c>
    </row>
    <row r="99">
      <c r="A99" t="inlineStr">
        <is>
          <t>20098</t>
        </is>
      </c>
      <c r="B99" t="inlineStr">
        <is>
          <t>歩渡り</t>
        </is>
      </c>
      <c r="C99" t="inlineStr">
        <is>
          <t>渡河点</t>
        </is>
      </c>
      <c r="D99" t="inlineStr"/>
      <c r="E99" t="inlineStr"/>
      <c r="F99" t="inlineStr">
        <is>
          <t>正保琉球国悪鬼納島絵図写</t>
        </is>
      </c>
      <c r="G99" t="inlineStr"/>
      <c r="H99" t="inlineStr"/>
      <c r="I99" t="inlineStr">
        <is>
          <t>33</t>
        </is>
      </c>
      <c r="J99" t="inlineStr"/>
      <c r="K99" t="inlineStr"/>
      <c r="L99" s="1">
        <f>HYPERLINK("https://www.hi.u-tokyo.ac.jp/collection/degitalgallary/ryukyu/item/20098", "https://www.hi.u-tokyo.ac.jp/collection/degitalgallary/ryukyu/item/20098")</f>
        <v/>
      </c>
    </row>
    <row r="100">
      <c r="A100" t="inlineStr">
        <is>
          <t>20099</t>
        </is>
      </c>
      <c r="B100" t="inlineStr">
        <is>
          <t>げさす崎</t>
        </is>
      </c>
      <c r="C100" t="inlineStr">
        <is>
          <t>崎</t>
        </is>
      </c>
      <c r="D100" t="inlineStr">
        <is>
          <t>26.598456</t>
        </is>
      </c>
      <c r="E100" t="inlineStr">
        <is>
          <t>128.150242</t>
        </is>
      </c>
      <c r="F100" t="inlineStr">
        <is>
          <t>正保琉球国悪鬼納島絵図写</t>
        </is>
      </c>
      <c r="G100" t="inlineStr"/>
      <c r="H100" t="inlineStr"/>
      <c r="I100" t="inlineStr">
        <is>
          <t>34</t>
        </is>
      </c>
      <c r="J100" t="inlineStr"/>
      <c r="K100" t="inlineStr">
        <is>
          <t>沖縄県国頭郡東村慶佐次</t>
        </is>
      </c>
      <c r="L100" s="1">
        <f>HYPERLINK("https://www.hi.u-tokyo.ac.jp/collection/degitalgallary/ryukyu/item/20099", "https://www.hi.u-tokyo.ac.jp/collection/degitalgallary/ryukyu/item/20099")</f>
        <v/>
      </c>
    </row>
    <row r="101">
      <c r="A101" t="inlineStr">
        <is>
          <t>20100</t>
        </is>
      </c>
      <c r="B101" t="inlineStr">
        <is>
          <t>てぎな崎</t>
        </is>
      </c>
      <c r="C101" t="inlineStr">
        <is>
          <t>崎</t>
        </is>
      </c>
      <c r="D101" t="inlineStr">
        <is>
          <t>26.5685429</t>
        </is>
      </c>
      <c r="E101" t="inlineStr">
        <is>
          <t>128.1501534</t>
        </is>
      </c>
      <c r="F101" t="inlineStr">
        <is>
          <t>正保琉球国悪鬼納島絵図写</t>
        </is>
      </c>
      <c r="G101" t="inlineStr"/>
      <c r="H101" t="inlineStr"/>
      <c r="I101" t="inlineStr">
        <is>
          <t>35</t>
        </is>
      </c>
      <c r="J101" t="inlineStr"/>
      <c r="K101" t="inlineStr">
        <is>
          <t>沖縄県名護市天仁屋</t>
        </is>
      </c>
      <c r="L101" s="1">
        <f>HYPERLINK("https://www.hi.u-tokyo.ac.jp/collection/degitalgallary/ryukyu/item/20100", "https://www.hi.u-tokyo.ac.jp/collection/degitalgallary/ryukyu/item/20100")</f>
        <v/>
      </c>
    </row>
    <row r="102">
      <c r="A102" t="inlineStr">
        <is>
          <t>20101</t>
        </is>
      </c>
      <c r="B102" t="inlineStr">
        <is>
          <t>ばり崎</t>
        </is>
      </c>
      <c r="C102" t="inlineStr">
        <is>
          <t>崎</t>
        </is>
      </c>
      <c r="D102" t="inlineStr">
        <is>
          <t>26.5541138</t>
        </is>
      </c>
      <c r="E102" t="inlineStr">
        <is>
          <t>128.1385898</t>
        </is>
      </c>
      <c r="F102" t="inlineStr">
        <is>
          <t>正保琉球国悪鬼納島絵図写</t>
        </is>
      </c>
      <c r="G102" t="inlineStr"/>
      <c r="H102" t="inlineStr"/>
      <c r="I102" t="inlineStr">
        <is>
          <t>36</t>
        </is>
      </c>
      <c r="J102" t="inlineStr"/>
      <c r="K102" t="inlineStr">
        <is>
          <t>沖縄県名護市天仁屋</t>
        </is>
      </c>
      <c r="L102" s="1">
        <f>HYPERLINK("https://www.hi.u-tokyo.ac.jp/collection/degitalgallary/ryukyu/item/20101", "https://www.hi.u-tokyo.ac.jp/collection/degitalgallary/ryukyu/item/20101")</f>
        <v/>
      </c>
    </row>
    <row r="103">
      <c r="A103" t="inlineStr">
        <is>
          <t>20102</t>
        </is>
      </c>
      <c r="B103" t="inlineStr">
        <is>
          <t>ぎみ崎</t>
        </is>
      </c>
      <c r="C103" t="inlineStr">
        <is>
          <t>崎</t>
        </is>
      </c>
      <c r="D103" t="inlineStr">
        <is>
          <t>26.538983</t>
        </is>
      </c>
      <c r="E103" t="inlineStr">
        <is>
          <t>128.101506</t>
        </is>
      </c>
      <c r="F103" t="inlineStr">
        <is>
          <t>正保琉球国悪鬼納島絵図写</t>
        </is>
      </c>
      <c r="G103" t="inlineStr"/>
      <c r="H103" t="inlineStr"/>
      <c r="I103" t="inlineStr">
        <is>
          <t>37</t>
        </is>
      </c>
      <c r="J103" t="inlineStr"/>
      <c r="K103" t="inlineStr">
        <is>
          <t>沖縄県名護市安部</t>
        </is>
      </c>
      <c r="L103" s="1">
        <f>HYPERLINK("https://www.hi.u-tokyo.ac.jp/collection/degitalgallary/ryukyu/item/20102", "https://www.hi.u-tokyo.ac.jp/collection/degitalgallary/ryukyu/item/20102")</f>
        <v/>
      </c>
    </row>
    <row r="104">
      <c r="A104" t="inlineStr">
        <is>
          <t>20103</t>
        </is>
      </c>
      <c r="B104" t="inlineStr">
        <is>
          <t>遠干潟</t>
        </is>
      </c>
      <c r="C104" t="inlineStr">
        <is>
          <t>干瀬</t>
        </is>
      </c>
      <c r="D104" t="inlineStr"/>
      <c r="E104" t="inlineStr"/>
      <c r="F104" t="inlineStr">
        <is>
          <t>正保琉球国悪鬼納島絵図写</t>
        </is>
      </c>
      <c r="G104" t="inlineStr"/>
      <c r="H104" t="inlineStr"/>
      <c r="I104" t="inlineStr">
        <is>
          <t>38</t>
        </is>
      </c>
      <c r="J104" t="inlineStr"/>
      <c r="K104" t="inlineStr"/>
      <c r="L104" s="1">
        <f>HYPERLINK("https://www.hi.u-tokyo.ac.jp/collection/degitalgallary/ryukyu/item/20103", "https://www.hi.u-tokyo.ac.jp/collection/degitalgallary/ryukyu/item/20103")</f>
        <v/>
      </c>
    </row>
    <row r="105">
      <c r="A105" t="inlineStr">
        <is>
          <t>20104</t>
        </is>
      </c>
      <c r="B105" t="inlineStr">
        <is>
          <t>へのき崎</t>
        </is>
      </c>
      <c r="C105" t="inlineStr">
        <is>
          <t>崎</t>
        </is>
      </c>
      <c r="D105" t="inlineStr">
        <is>
          <t>26.5209587</t>
        </is>
      </c>
      <c r="E105" t="inlineStr">
        <is>
          <t>128.0526029</t>
        </is>
      </c>
      <c r="F105" t="inlineStr">
        <is>
          <t>正保琉球国悪鬼納島絵図写</t>
        </is>
      </c>
      <c r="G105" t="inlineStr"/>
      <c r="H105" t="inlineStr"/>
      <c r="I105" t="inlineStr">
        <is>
          <t>39</t>
        </is>
      </c>
      <c r="J105" t="inlineStr"/>
      <c r="K105" t="inlineStr">
        <is>
          <t>沖縄県名護市辺野古</t>
        </is>
      </c>
      <c r="L105" s="1">
        <f>HYPERLINK("https://www.hi.u-tokyo.ac.jp/collection/degitalgallary/ryukyu/item/20104", "https://www.hi.u-tokyo.ac.jp/collection/degitalgallary/ryukyu/item/20104")</f>
        <v/>
      </c>
    </row>
    <row r="106">
      <c r="A106" t="inlineStr">
        <is>
          <t>20105</t>
        </is>
      </c>
      <c r="B106" t="inlineStr">
        <is>
          <t>歩渡り</t>
        </is>
      </c>
      <c r="C106" t="inlineStr">
        <is>
          <t>渡河点</t>
        </is>
      </c>
      <c r="D106" t="inlineStr"/>
      <c r="E106" t="inlineStr"/>
      <c r="F106" t="inlineStr">
        <is>
          <t>正保琉球国悪鬼納島絵図写</t>
        </is>
      </c>
      <c r="G106" t="inlineStr"/>
      <c r="H106" t="inlineStr"/>
      <c r="I106" t="inlineStr">
        <is>
          <t>40</t>
        </is>
      </c>
      <c r="J106" t="inlineStr"/>
      <c r="K106" t="inlineStr"/>
      <c r="L106" s="1">
        <f>HYPERLINK("https://www.hi.u-tokyo.ac.jp/collection/degitalgallary/ryukyu/item/20105", "https://www.hi.u-tokyo.ac.jp/collection/degitalgallary/ryukyu/item/20105")</f>
        <v/>
      </c>
    </row>
    <row r="107">
      <c r="A107" t="inlineStr">
        <is>
          <t>20106</t>
        </is>
      </c>
      <c r="B107" t="inlineStr">
        <is>
          <t>なこ間切大道ヨリおほら村大道迄、一里廿三町四十間</t>
        </is>
      </c>
      <c r="C107" t="inlineStr">
        <is>
          <t>陸路</t>
        </is>
      </c>
      <c r="D107" t="inlineStr"/>
      <c r="E107" t="inlineStr"/>
      <c r="F107" t="inlineStr">
        <is>
          <t>正保琉球国悪鬼納島絵図写</t>
        </is>
      </c>
      <c r="G107" t="inlineStr"/>
      <c r="H107" t="inlineStr"/>
      <c r="I107" t="inlineStr">
        <is>
          <t>41</t>
        </is>
      </c>
      <c r="J107" t="inlineStr"/>
      <c r="K107" t="inlineStr"/>
      <c r="L107" s="1">
        <f>HYPERLINK("https://www.hi.u-tokyo.ac.jp/collection/degitalgallary/ryukyu/item/20106", "https://www.hi.u-tokyo.ac.jp/collection/degitalgallary/ryukyu/item/20106")</f>
        <v/>
      </c>
    </row>
    <row r="108">
      <c r="A108" t="inlineStr">
        <is>
          <t>20107</t>
        </is>
      </c>
      <c r="B108" t="inlineStr">
        <is>
          <t>名護間切大道ヨリ羽地間切大道迄、一里廿一町</t>
        </is>
      </c>
      <c r="C108" t="inlineStr">
        <is>
          <t>陸路</t>
        </is>
      </c>
      <c r="D108" t="inlineStr"/>
      <c r="E108" t="inlineStr"/>
      <c r="F108" t="inlineStr">
        <is>
          <t>正保琉球国悪鬼納島絵図写</t>
        </is>
      </c>
      <c r="G108" t="inlineStr"/>
      <c r="H108" t="inlineStr"/>
      <c r="I108" t="inlineStr">
        <is>
          <t>42</t>
        </is>
      </c>
      <c r="J108" t="inlineStr"/>
      <c r="K108" t="inlineStr"/>
      <c r="L108" s="1">
        <f>HYPERLINK("https://www.hi.u-tokyo.ac.jp/collection/degitalgallary/ryukyu/item/20107", "https://www.hi.u-tokyo.ac.jp/collection/degitalgallary/ryukyu/item/20107")</f>
        <v/>
      </c>
    </row>
    <row r="109">
      <c r="A109" t="inlineStr">
        <is>
          <t>20108</t>
        </is>
      </c>
      <c r="B109" t="inlineStr">
        <is>
          <t>干潟</t>
        </is>
      </c>
      <c r="C109" t="inlineStr">
        <is>
          <t>干瀬</t>
        </is>
      </c>
      <c r="D109" t="inlineStr"/>
      <c r="E109" t="inlineStr"/>
      <c r="F109" t="inlineStr">
        <is>
          <t>正保琉球国悪鬼納島絵図写</t>
        </is>
      </c>
      <c r="G109" t="inlineStr"/>
      <c r="H109" t="inlineStr"/>
      <c r="I109" t="inlineStr">
        <is>
          <t>43</t>
        </is>
      </c>
      <c r="J109" t="inlineStr"/>
      <c r="K109" t="inlineStr"/>
      <c r="L109" s="1">
        <f>HYPERLINK("https://www.hi.u-tokyo.ac.jp/collection/degitalgallary/ryukyu/item/20108", "https://www.hi.u-tokyo.ac.jp/collection/degitalgallary/ryukyu/item/20108")</f>
        <v/>
      </c>
    </row>
    <row r="110">
      <c r="A110" t="inlineStr">
        <is>
          <t>20109</t>
        </is>
      </c>
      <c r="B110" t="inlineStr">
        <is>
          <t>きせ崎</t>
        </is>
      </c>
      <c r="C110" t="inlineStr">
        <is>
          <t>崎</t>
        </is>
      </c>
      <c r="D110" t="inlineStr">
        <is>
          <t>26.5448867</t>
        </is>
      </c>
      <c r="E110" t="inlineStr">
        <is>
          <t>127.9333031</t>
        </is>
      </c>
      <c r="F110" t="inlineStr">
        <is>
          <t>正保琉球国悪鬼納島絵図写</t>
        </is>
      </c>
      <c r="G110" t="inlineStr"/>
      <c r="H110" t="inlineStr"/>
      <c r="I110" t="inlineStr">
        <is>
          <t>44</t>
        </is>
      </c>
      <c r="J110" t="inlineStr"/>
      <c r="K110" t="inlineStr">
        <is>
          <t>沖縄県名護市喜瀬</t>
        </is>
      </c>
      <c r="L110" s="1">
        <f>HYPERLINK("https://www.hi.u-tokyo.ac.jp/collection/degitalgallary/ryukyu/item/20109", "https://www.hi.u-tokyo.ac.jp/collection/degitalgallary/ryukyu/item/20109")</f>
        <v/>
      </c>
    </row>
    <row r="111">
      <c r="A111" t="inlineStr">
        <is>
          <t>20110</t>
        </is>
      </c>
      <c r="B111" t="inlineStr">
        <is>
          <t>幸喜村大道ヨリ金武間切大道迄、壱里卅一町四十間</t>
        </is>
      </c>
      <c r="C111" t="inlineStr">
        <is>
          <t>陸路</t>
        </is>
      </c>
      <c r="D111" t="inlineStr"/>
      <c r="E111" t="inlineStr"/>
      <c r="F111" t="inlineStr">
        <is>
          <t>正保琉球国悪鬼納島絵図写</t>
        </is>
      </c>
      <c r="G111" t="inlineStr"/>
      <c r="H111" t="inlineStr"/>
      <c r="I111" t="inlineStr">
        <is>
          <t>45</t>
        </is>
      </c>
      <c r="J111" t="inlineStr"/>
      <c r="K111" t="inlineStr"/>
      <c r="L111" s="1">
        <f>HYPERLINK("https://www.hi.u-tokyo.ac.jp/collection/degitalgallary/ryukyu/item/20110", "https://www.hi.u-tokyo.ac.jp/collection/degitalgallary/ryukyu/item/20110")</f>
        <v/>
      </c>
    </row>
    <row r="112">
      <c r="A112" t="inlineStr">
        <is>
          <t>20111</t>
        </is>
      </c>
      <c r="B112" t="inlineStr">
        <is>
          <t>干潟</t>
        </is>
      </c>
      <c r="C112" t="inlineStr">
        <is>
          <t>干瀬</t>
        </is>
      </c>
      <c r="D112" t="inlineStr"/>
      <c r="E112" t="inlineStr"/>
      <c r="F112" t="inlineStr">
        <is>
          <t>正保琉球国悪鬼納島絵図写</t>
        </is>
      </c>
      <c r="G112" t="inlineStr"/>
      <c r="H112" t="inlineStr"/>
      <c r="I112" t="inlineStr">
        <is>
          <t>46</t>
        </is>
      </c>
      <c r="J112" t="inlineStr"/>
      <c r="K112" t="inlineStr"/>
      <c r="L112" s="1">
        <f>HYPERLINK("https://www.hi.u-tokyo.ac.jp/collection/degitalgallary/ryukyu/item/20111", "https://www.hi.u-tokyo.ac.jp/collection/degitalgallary/ryukyu/item/20111")</f>
        <v/>
      </c>
    </row>
    <row r="113">
      <c r="A113" t="inlineStr">
        <is>
          <t>20112</t>
        </is>
      </c>
      <c r="B113" t="inlineStr">
        <is>
          <t>によは入江ヨリ大湾入江迄、海上拾八里</t>
        </is>
      </c>
      <c r="C113" t="inlineStr">
        <is>
          <t>航路</t>
        </is>
      </c>
      <c r="D113" t="inlineStr"/>
      <c r="E113" t="inlineStr"/>
      <c r="F113" t="inlineStr">
        <is>
          <t>正保琉球国悪鬼納島絵図写</t>
        </is>
      </c>
      <c r="G113" t="inlineStr"/>
      <c r="H113" t="inlineStr"/>
      <c r="I113" t="inlineStr">
        <is>
          <t>47</t>
        </is>
      </c>
      <c r="J113" t="inlineStr"/>
      <c r="K113" t="inlineStr"/>
      <c r="L113" s="1">
        <f>HYPERLINK("https://www.hi.u-tokyo.ac.jp/collection/degitalgallary/ryukyu/item/20112", "https://www.hi.u-tokyo.ac.jp/collection/degitalgallary/ryukyu/item/20112")</f>
        <v/>
      </c>
    </row>
    <row r="114">
      <c r="A114" t="inlineStr">
        <is>
          <t>20113</t>
        </is>
      </c>
      <c r="B114" t="inlineStr">
        <is>
          <t>水な嶋</t>
        </is>
      </c>
      <c r="C114" t="inlineStr">
        <is>
          <t>島</t>
        </is>
      </c>
      <c r="D114" t="inlineStr">
        <is>
          <t>26.6479059</t>
        </is>
      </c>
      <c r="E114" t="inlineStr">
        <is>
          <t>127.8173964</t>
        </is>
      </c>
      <c r="F114" t="inlineStr">
        <is>
          <t>正保琉球国悪鬼納島絵図写</t>
        </is>
      </c>
      <c r="G114" t="inlineStr">
        <is>
          <t>人居なし</t>
        </is>
      </c>
      <c r="H114" t="inlineStr"/>
      <c r="I114" t="inlineStr">
        <is>
          <t>48</t>
        </is>
      </c>
      <c r="J114" t="inlineStr"/>
      <c r="K114" t="inlineStr">
        <is>
          <t>沖縄県国頭郡本部町瀬底</t>
        </is>
      </c>
      <c r="L114" s="1">
        <f>HYPERLINK("https://www.hi.u-tokyo.ac.jp/collection/degitalgallary/ryukyu/item/20113", "https://www.hi.u-tokyo.ac.jp/collection/degitalgallary/ryukyu/item/20113")</f>
        <v/>
      </c>
    </row>
    <row r="115">
      <c r="A115" t="inlineStr">
        <is>
          <t>20114</t>
        </is>
      </c>
      <c r="B115" t="inlineStr">
        <is>
          <t>此間五町</t>
        </is>
      </c>
      <c r="C115" t="inlineStr">
        <is>
          <t>その他</t>
        </is>
      </c>
      <c r="D115" t="inlineStr"/>
      <c r="E115" t="inlineStr"/>
      <c r="F115" t="inlineStr">
        <is>
          <t>正保琉球国悪鬼納島絵図写</t>
        </is>
      </c>
      <c r="G115" t="inlineStr"/>
      <c r="H115" t="inlineStr"/>
      <c r="I115" t="inlineStr">
        <is>
          <t>49</t>
        </is>
      </c>
      <c r="J115" t="inlineStr"/>
      <c r="K115" t="inlineStr"/>
      <c r="L115" s="1">
        <f>HYPERLINK("https://www.hi.u-tokyo.ac.jp/collection/degitalgallary/ryukyu/item/20114", "https://www.hi.u-tokyo.ac.jp/collection/degitalgallary/ryukyu/item/20114")</f>
        <v/>
      </c>
    </row>
    <row r="116">
      <c r="A116" t="inlineStr">
        <is>
          <t>20115</t>
        </is>
      </c>
      <c r="B116" t="inlineStr">
        <is>
          <t>によは入江</t>
        </is>
      </c>
      <c r="C116" t="inlineStr">
        <is>
          <t>港湾</t>
        </is>
      </c>
      <c r="D116" t="inlineStr">
        <is>
          <t>26.6590186</t>
        </is>
      </c>
      <c r="E116" t="inlineStr">
        <is>
          <t>127.8894545</t>
        </is>
      </c>
      <c r="F116" t="inlineStr">
        <is>
          <t>正保琉球国悪鬼納島絵図写</t>
        </is>
      </c>
      <c r="G116" t="inlineStr">
        <is>
          <t>一、此によは入江左右干瀬之間、壱町五十間、深さ五尋
一、何風ニ而も船繋り不自由</t>
        </is>
      </c>
      <c r="H116" t="inlineStr"/>
      <c r="I116" t="inlineStr">
        <is>
          <t>50</t>
        </is>
      </c>
      <c r="J116" t="inlineStr"/>
      <c r="K116" t="inlineStr">
        <is>
          <t>沖縄県国頭郡本部町谷茶</t>
        </is>
      </c>
      <c r="L116" s="1">
        <f>HYPERLINK("https://www.hi.u-tokyo.ac.jp/collection/degitalgallary/ryukyu/item/20115", "https://www.hi.u-tokyo.ac.jp/collection/degitalgallary/ryukyu/item/20115")</f>
        <v/>
      </c>
    </row>
    <row r="117">
      <c r="A117" t="inlineStr">
        <is>
          <t>20116</t>
        </is>
      </c>
      <c r="B117" t="inlineStr">
        <is>
          <t>満汐時ニ舟渡り</t>
        </is>
      </c>
      <c r="C117" t="inlineStr">
        <is>
          <t>渡河点</t>
        </is>
      </c>
      <c r="D117" t="inlineStr"/>
      <c r="E117" t="inlineStr"/>
      <c r="F117" t="inlineStr">
        <is>
          <t>正保琉球国悪鬼納島絵図写</t>
        </is>
      </c>
      <c r="G117" t="inlineStr"/>
      <c r="H117" t="inlineStr"/>
      <c r="I117" t="inlineStr">
        <is>
          <t>51</t>
        </is>
      </c>
      <c r="J117" t="inlineStr"/>
      <c r="K117" t="inlineStr"/>
      <c r="L117" s="1">
        <f>HYPERLINK("https://www.hi.u-tokyo.ac.jp/collection/degitalgallary/ryukyu/item/20116", "https://www.hi.u-tokyo.ac.jp/collection/degitalgallary/ryukyu/item/20116")</f>
        <v/>
      </c>
    </row>
    <row r="118">
      <c r="A118" t="inlineStr">
        <is>
          <t>20117</t>
        </is>
      </c>
      <c r="B118" t="inlineStr">
        <is>
          <t>遠干潟</t>
        </is>
      </c>
      <c r="C118" t="inlineStr">
        <is>
          <t>干瀬</t>
        </is>
      </c>
      <c r="D118" t="inlineStr">
        <is>
          <t>26.6620919</t>
        </is>
      </c>
      <c r="E118" t="inlineStr">
        <is>
          <t>127.9002212</t>
        </is>
      </c>
      <c r="F118" t="inlineStr">
        <is>
          <t>正保琉球国悪鬼納島絵図写</t>
        </is>
      </c>
      <c r="G118" t="inlineStr"/>
      <c r="H118" t="inlineStr"/>
      <c r="I118" t="inlineStr">
        <is>
          <t>52</t>
        </is>
      </c>
      <c r="J118" t="inlineStr"/>
      <c r="K118" t="inlineStr">
        <is>
          <t>沖縄県国頭郡本部町渡久地</t>
        </is>
      </c>
      <c r="L118" s="1">
        <f>HYPERLINK("https://www.hi.u-tokyo.ac.jp/collection/degitalgallary/ryukyu/item/20117", "https://www.hi.u-tokyo.ac.jp/collection/degitalgallary/ryukyu/item/20117")</f>
        <v/>
      </c>
    </row>
    <row r="119">
      <c r="A119" t="inlineStr">
        <is>
          <t>20118</t>
        </is>
      </c>
      <c r="B119" t="inlineStr">
        <is>
          <t>びし崎</t>
        </is>
      </c>
      <c r="C119" t="inlineStr">
        <is>
          <t>崎</t>
        </is>
      </c>
      <c r="D119" t="inlineStr">
        <is>
          <t>26.711975</t>
        </is>
      </c>
      <c r="E119" t="inlineStr">
        <is>
          <t>127.876916</t>
        </is>
      </c>
      <c r="F119" t="inlineStr">
        <is>
          <t>正保琉球国悪鬼納島絵図写</t>
        </is>
      </c>
      <c r="G119" t="inlineStr"/>
      <c r="H119" t="inlineStr"/>
      <c r="I119" t="inlineStr">
        <is>
          <t>53</t>
        </is>
      </c>
      <c r="J119" t="inlineStr"/>
      <c r="K119" t="inlineStr">
        <is>
          <t>沖縄県国頭郡本部町備瀬</t>
        </is>
      </c>
      <c r="L119" s="1">
        <f>HYPERLINK("https://www.hi.u-tokyo.ac.jp/collection/degitalgallary/ryukyu/item/20118", "https://www.hi.u-tokyo.ac.jp/collection/degitalgallary/ryukyu/item/20118")</f>
        <v/>
      </c>
    </row>
    <row r="120">
      <c r="A120" t="inlineStr">
        <is>
          <t>20119</t>
        </is>
      </c>
      <c r="B120" t="inlineStr">
        <is>
          <t>干潟</t>
        </is>
      </c>
      <c r="C120" t="inlineStr">
        <is>
          <t>干瀬</t>
        </is>
      </c>
      <c r="D120" t="inlineStr"/>
      <c r="E120" t="inlineStr"/>
      <c r="F120" t="inlineStr">
        <is>
          <t>正保琉球国悪鬼納島絵図写</t>
        </is>
      </c>
      <c r="G120" t="inlineStr"/>
      <c r="H120" t="inlineStr"/>
      <c r="I120" t="inlineStr">
        <is>
          <t>54</t>
        </is>
      </c>
      <c r="J120" t="inlineStr"/>
      <c r="K120" t="inlineStr"/>
      <c r="L120" s="1">
        <f>HYPERLINK("https://www.hi.u-tokyo.ac.jp/collection/degitalgallary/ryukyu/item/20119", "https://www.hi.u-tokyo.ac.jp/collection/degitalgallary/ryukyu/item/20119")</f>
        <v/>
      </c>
    </row>
    <row r="121">
      <c r="A121" t="inlineStr">
        <is>
          <t>20120</t>
        </is>
      </c>
      <c r="B121" t="inlineStr">
        <is>
          <t>運天湊ヨリによは入江迄、海上五里</t>
        </is>
      </c>
      <c r="C121" t="inlineStr">
        <is>
          <t>航路</t>
        </is>
      </c>
      <c r="D121" t="inlineStr"/>
      <c r="E121" t="inlineStr"/>
      <c r="F121" t="inlineStr">
        <is>
          <t>正保琉球国悪鬼納島絵図写</t>
        </is>
      </c>
      <c r="G121" t="inlineStr"/>
      <c r="H121" t="inlineStr"/>
      <c r="I121" t="inlineStr">
        <is>
          <t>55</t>
        </is>
      </c>
      <c r="J121" t="inlineStr"/>
      <c r="K121" t="inlineStr"/>
      <c r="L121" s="1">
        <f>HYPERLINK("https://www.hi.u-tokyo.ac.jp/collection/degitalgallary/ryukyu/item/20120", "https://www.hi.u-tokyo.ac.jp/collection/degitalgallary/ryukyu/item/20120")</f>
        <v/>
      </c>
    </row>
    <row r="122">
      <c r="A122" t="inlineStr">
        <is>
          <t>20121</t>
        </is>
      </c>
      <c r="B122" t="inlineStr">
        <is>
          <t>歩渡り</t>
        </is>
      </c>
      <c r="C122" t="inlineStr">
        <is>
          <t>渡河点</t>
        </is>
      </c>
      <c r="D122" t="inlineStr"/>
      <c r="E122" t="inlineStr"/>
      <c r="F122" t="inlineStr">
        <is>
          <t>正保琉球国悪鬼納島絵図写</t>
        </is>
      </c>
      <c r="G122" t="inlineStr"/>
      <c r="H122" t="inlineStr"/>
      <c r="I122" t="inlineStr">
        <is>
          <t>56</t>
        </is>
      </c>
      <c r="J122" t="inlineStr"/>
      <c r="K122" t="inlineStr"/>
      <c r="L122" s="1">
        <f>HYPERLINK("https://www.hi.u-tokyo.ac.jp/collection/degitalgallary/ryukyu/item/20121", "https://www.hi.u-tokyo.ac.jp/collection/degitalgallary/ryukyu/item/20121")</f>
        <v/>
      </c>
    </row>
    <row r="123">
      <c r="A123" t="inlineStr">
        <is>
          <t>20122</t>
        </is>
      </c>
      <c r="B123" t="inlineStr">
        <is>
          <t>運天湊</t>
        </is>
      </c>
      <c r="C123" t="inlineStr">
        <is>
          <t>港湾</t>
        </is>
      </c>
      <c r="D123" t="inlineStr">
        <is>
          <t>26.6778142</t>
        </is>
      </c>
      <c r="E123" t="inlineStr">
        <is>
          <t>127.9969266</t>
        </is>
      </c>
      <c r="F123" t="inlineStr">
        <is>
          <t>正保琉球国悪鬼納島絵図写</t>
        </is>
      </c>
      <c r="G123" t="inlineStr">
        <is>
          <t>一、此運天湊、広さ弐町、入壱里廿七町、深さ廿尋
一、大船五六拾艘程繋ル
一、何風ニ而も船繋リ自由</t>
        </is>
      </c>
      <c r="H123" t="inlineStr"/>
      <c r="I123" t="inlineStr">
        <is>
          <t>57</t>
        </is>
      </c>
      <c r="J123" t="inlineStr"/>
      <c r="K123" t="inlineStr">
        <is>
          <t>沖縄県国頭郡今帰仁村上運天</t>
        </is>
      </c>
      <c r="L123" s="1">
        <f>HYPERLINK("https://www.hi.u-tokyo.ac.jp/collection/degitalgallary/ryukyu/item/20122", "https://www.hi.u-tokyo.ac.jp/collection/degitalgallary/ryukyu/item/20122")</f>
        <v/>
      </c>
    </row>
    <row r="124">
      <c r="A124" t="inlineStr">
        <is>
          <t>20123</t>
        </is>
      </c>
      <c r="B124" t="inlineStr">
        <is>
          <t>やが嶋</t>
        </is>
      </c>
      <c r="C124" t="inlineStr">
        <is>
          <t>島</t>
        </is>
      </c>
      <c r="D124" t="inlineStr">
        <is>
          <t>26.6705839</t>
        </is>
      </c>
      <c r="E124" t="inlineStr">
        <is>
          <t>128.015522</t>
        </is>
      </c>
      <c r="F124" t="inlineStr">
        <is>
          <t>正保琉球国悪鬼納島絵図写</t>
        </is>
      </c>
      <c r="G124" t="inlineStr">
        <is>
          <t>嶋廻二里</t>
        </is>
      </c>
      <c r="H124" t="inlineStr"/>
      <c r="I124" t="inlineStr">
        <is>
          <t>58</t>
        </is>
      </c>
      <c r="J124" t="inlineStr"/>
      <c r="K124" t="inlineStr">
        <is>
          <t>沖縄県名護市済井出</t>
        </is>
      </c>
      <c r="L124" s="1">
        <f>HYPERLINK("https://www.hi.u-tokyo.ac.jp/collection/degitalgallary/ryukyu/item/20123", "https://www.hi.u-tokyo.ac.jp/collection/degitalgallary/ryukyu/item/20123")</f>
        <v/>
      </c>
    </row>
    <row r="125">
      <c r="A125" t="inlineStr">
        <is>
          <t>20124</t>
        </is>
      </c>
      <c r="B125" t="inlineStr">
        <is>
          <t>此間十四町</t>
        </is>
      </c>
      <c r="C125" t="inlineStr">
        <is>
          <t>その他</t>
        </is>
      </c>
      <c r="D125" t="inlineStr"/>
      <c r="E125" t="inlineStr"/>
      <c r="F125" t="inlineStr">
        <is>
          <t>正保琉球国悪鬼納島絵図写</t>
        </is>
      </c>
      <c r="G125" t="inlineStr"/>
      <c r="H125" t="inlineStr"/>
      <c r="I125" t="inlineStr">
        <is>
          <t>59</t>
        </is>
      </c>
      <c r="J125" t="inlineStr"/>
      <c r="K125" t="inlineStr"/>
      <c r="L125" s="1">
        <f>HYPERLINK("https://www.hi.u-tokyo.ac.jp/collection/degitalgallary/ryukyu/item/20124", "https://www.hi.u-tokyo.ac.jp/collection/degitalgallary/ryukyu/item/20124")</f>
        <v/>
      </c>
    </row>
    <row r="126">
      <c r="A126" t="inlineStr">
        <is>
          <t>20125</t>
        </is>
      </c>
      <c r="B126" t="inlineStr">
        <is>
          <t>異国船遠見番所</t>
        </is>
      </c>
      <c r="C126" t="inlineStr">
        <is>
          <t>その他</t>
        </is>
      </c>
      <c r="D126" t="inlineStr"/>
      <c r="E126" t="inlineStr"/>
      <c r="F126" t="inlineStr">
        <is>
          <t>正保琉球国悪鬼納島絵図写</t>
        </is>
      </c>
      <c r="G126" t="inlineStr"/>
      <c r="H126" t="inlineStr"/>
      <c r="I126" t="inlineStr">
        <is>
          <t>60</t>
        </is>
      </c>
      <c r="J126" t="inlineStr"/>
      <c r="K126" t="inlineStr"/>
      <c r="L126" s="1">
        <f>HYPERLINK("https://www.hi.u-tokyo.ac.jp/collection/degitalgallary/ryukyu/item/20125", "https://www.hi.u-tokyo.ac.jp/collection/degitalgallary/ryukyu/item/20125")</f>
        <v/>
      </c>
    </row>
    <row r="127">
      <c r="A127" t="inlineStr">
        <is>
          <t>20126</t>
        </is>
      </c>
      <c r="B127" t="inlineStr">
        <is>
          <t>によは入江ヨリ伊恵那嶋迄、海上弐里</t>
        </is>
      </c>
      <c r="C127" t="inlineStr">
        <is>
          <t>航路</t>
        </is>
      </c>
      <c r="D127" t="inlineStr"/>
      <c r="E127" t="inlineStr"/>
      <c r="F127" t="inlineStr">
        <is>
          <t>正保琉球国悪鬼納島絵図写</t>
        </is>
      </c>
      <c r="G127" t="inlineStr"/>
      <c r="H127" t="inlineStr"/>
      <c r="I127" t="inlineStr">
        <is>
          <t>61</t>
        </is>
      </c>
      <c r="J127" t="inlineStr"/>
      <c r="K127" t="inlineStr"/>
      <c r="L127" s="1">
        <f>HYPERLINK("https://www.hi.u-tokyo.ac.jp/collection/degitalgallary/ryukyu/item/20126", "https://www.hi.u-tokyo.ac.jp/collection/degitalgallary/ryukyu/item/20126")</f>
        <v/>
      </c>
    </row>
    <row r="128">
      <c r="A128" t="inlineStr">
        <is>
          <t>20127</t>
        </is>
      </c>
      <c r="B128" t="inlineStr">
        <is>
          <t>船かゝり不成</t>
        </is>
      </c>
      <c r="C128" t="inlineStr">
        <is>
          <t>港湾</t>
        </is>
      </c>
      <c r="D128" t="inlineStr"/>
      <c r="E128" t="inlineStr"/>
      <c r="F128" t="inlineStr">
        <is>
          <t>正保琉球国悪鬼納島絵図写</t>
        </is>
      </c>
      <c r="G128" t="inlineStr"/>
      <c r="H128" t="inlineStr"/>
      <c r="I128" t="inlineStr">
        <is>
          <t>62</t>
        </is>
      </c>
      <c r="J128" t="inlineStr"/>
      <c r="K128" t="inlineStr"/>
      <c r="L128" s="1">
        <f>HYPERLINK("https://www.hi.u-tokyo.ac.jp/collection/degitalgallary/ryukyu/item/20127", "https://www.hi.u-tokyo.ac.jp/collection/degitalgallary/ryukyu/item/20127")</f>
        <v/>
      </c>
    </row>
    <row r="129">
      <c r="A129" t="inlineStr">
        <is>
          <t>20128</t>
        </is>
      </c>
      <c r="B129" t="inlineStr">
        <is>
          <t>なかひせ</t>
        </is>
      </c>
      <c r="C129" t="inlineStr">
        <is>
          <t>干瀬</t>
        </is>
      </c>
      <c r="D129" t="inlineStr"/>
      <c r="E129" t="inlineStr"/>
      <c r="F129" t="inlineStr">
        <is>
          <t>正保琉球国悪鬼納島絵図写</t>
        </is>
      </c>
      <c r="G129" t="inlineStr"/>
      <c r="H129" t="inlineStr"/>
      <c r="I129" t="inlineStr">
        <is>
          <t>63</t>
        </is>
      </c>
      <c r="J129" t="inlineStr"/>
      <c r="K129" t="inlineStr"/>
      <c r="L129" s="1">
        <f>HYPERLINK("https://www.hi.u-tokyo.ac.jp/collection/degitalgallary/ryukyu/item/20128", "https://www.hi.u-tokyo.ac.jp/collection/degitalgallary/ryukyu/item/20128")</f>
        <v/>
      </c>
    </row>
    <row r="130">
      <c r="A130" t="inlineStr">
        <is>
          <t>20129</t>
        </is>
      </c>
      <c r="B130" t="inlineStr">
        <is>
          <t>なかひせ</t>
        </is>
      </c>
      <c r="C130" t="inlineStr">
        <is>
          <t>干瀬</t>
        </is>
      </c>
      <c r="D130" t="inlineStr"/>
      <c r="E130" t="inlineStr"/>
      <c r="F130" t="inlineStr">
        <is>
          <t>正保琉球国悪鬼納島絵図写</t>
        </is>
      </c>
      <c r="G130" t="inlineStr"/>
      <c r="H130" t="inlineStr"/>
      <c r="I130" t="inlineStr">
        <is>
          <t>64</t>
        </is>
      </c>
      <c r="J130" t="inlineStr"/>
      <c r="K130" t="inlineStr"/>
      <c r="L130" s="1">
        <f>HYPERLINK("https://www.hi.u-tokyo.ac.jp/collection/degitalgallary/ryukyu/item/20129", "https://www.hi.u-tokyo.ac.jp/collection/degitalgallary/ryukyu/item/20129")</f>
        <v/>
      </c>
    </row>
    <row r="131">
      <c r="A131" t="inlineStr">
        <is>
          <t>20130</t>
        </is>
      </c>
      <c r="B131" t="inlineStr">
        <is>
          <t>中干瀬</t>
        </is>
      </c>
      <c r="C131" t="inlineStr">
        <is>
          <t>干瀬</t>
        </is>
      </c>
      <c r="D131" t="inlineStr"/>
      <c r="E131" t="inlineStr"/>
      <c r="F131" t="inlineStr">
        <is>
          <t>正保琉球国悪鬼納島絵図写</t>
        </is>
      </c>
      <c r="G131" t="inlineStr"/>
      <c r="H131" t="inlineStr"/>
      <c r="I131" t="inlineStr">
        <is>
          <t>65</t>
        </is>
      </c>
      <c r="J131" t="inlineStr"/>
      <c r="K131" t="inlineStr"/>
      <c r="L131" s="1">
        <f>HYPERLINK("https://www.hi.u-tokyo.ac.jp/collection/degitalgallary/ryukyu/item/20130", "https://www.hi.u-tokyo.ac.jp/collection/degitalgallary/ryukyu/item/20130")</f>
        <v/>
      </c>
    </row>
    <row r="132">
      <c r="A132" t="inlineStr">
        <is>
          <t>20131</t>
        </is>
      </c>
      <c r="B132" t="inlineStr">
        <is>
          <t>歩渡り</t>
        </is>
      </c>
      <c r="C132" t="inlineStr">
        <is>
          <t>渡河点</t>
        </is>
      </c>
      <c r="D132" t="inlineStr"/>
      <c r="E132" t="inlineStr"/>
      <c r="F132" t="inlineStr">
        <is>
          <t>正保琉球国悪鬼納島絵図写</t>
        </is>
      </c>
      <c r="G132" t="inlineStr"/>
      <c r="H132" t="inlineStr"/>
      <c r="I132" t="inlineStr">
        <is>
          <t>66</t>
        </is>
      </c>
      <c r="J132" t="inlineStr"/>
      <c r="K132" t="inlineStr"/>
      <c r="L132" s="1">
        <f>HYPERLINK("https://www.hi.u-tokyo.ac.jp/collection/degitalgallary/ryukyu/item/20131", "https://www.hi.u-tokyo.ac.jp/collection/degitalgallary/ryukyu/item/20131")</f>
        <v/>
      </c>
    </row>
    <row r="133">
      <c r="A133" t="inlineStr">
        <is>
          <t>20132</t>
        </is>
      </c>
      <c r="B133" t="inlineStr">
        <is>
          <t>こちや崎</t>
        </is>
      </c>
      <c r="C133" t="inlineStr">
        <is>
          <t>崎</t>
        </is>
      </c>
      <c r="D133" t="inlineStr"/>
      <c r="E133" t="inlineStr"/>
      <c r="F133" t="inlineStr">
        <is>
          <t>正保琉球国悪鬼納島絵図写</t>
        </is>
      </c>
      <c r="G133" t="inlineStr"/>
      <c r="H133" t="inlineStr"/>
      <c r="I133" t="inlineStr">
        <is>
          <t>67</t>
        </is>
      </c>
      <c r="J133" t="inlineStr"/>
      <c r="K133" t="inlineStr"/>
      <c r="L133" s="1">
        <f>HYPERLINK("https://www.hi.u-tokyo.ac.jp/collection/degitalgallary/ryukyu/item/20132", "https://www.hi.u-tokyo.ac.jp/collection/degitalgallary/ryukyu/item/20132")</f>
        <v/>
      </c>
    </row>
    <row r="134">
      <c r="A134" t="inlineStr">
        <is>
          <t>20133</t>
        </is>
      </c>
      <c r="B134" t="inlineStr">
        <is>
          <t>歩渡り</t>
        </is>
      </c>
      <c r="C134" t="inlineStr">
        <is>
          <t>渡河点</t>
        </is>
      </c>
      <c r="D134" t="inlineStr"/>
      <c r="E134" t="inlineStr"/>
      <c r="F134" t="inlineStr">
        <is>
          <t>正保琉球国悪鬼納島絵図写</t>
        </is>
      </c>
      <c r="G134" t="inlineStr"/>
      <c r="H134" t="inlineStr"/>
      <c r="I134" t="inlineStr">
        <is>
          <t>68</t>
        </is>
      </c>
      <c r="J134" t="inlineStr"/>
      <c r="K134" t="inlineStr"/>
      <c r="L134" s="1">
        <f>HYPERLINK("https://www.hi.u-tokyo.ac.jp/collection/degitalgallary/ryukyu/item/20133", "https://www.hi.u-tokyo.ac.jp/collection/degitalgallary/ryukyu/item/20133")</f>
        <v/>
      </c>
    </row>
    <row r="135">
      <c r="A135" t="inlineStr">
        <is>
          <t>20134</t>
        </is>
      </c>
      <c r="B135" t="inlineStr">
        <is>
          <t>ぎのさ崎</t>
        </is>
      </c>
      <c r="C135" t="inlineStr">
        <is>
          <t>崎</t>
        </is>
      </c>
      <c r="D135" t="inlineStr">
        <is>
          <t>26.475380</t>
        </is>
      </c>
      <c r="E135" t="inlineStr">
        <is>
          <t>127.990685</t>
        </is>
      </c>
      <c r="F135" t="inlineStr">
        <is>
          <t>正保琉球国悪鬼納島絵図写</t>
        </is>
      </c>
      <c r="G135" t="inlineStr"/>
      <c r="H135" t="inlineStr"/>
      <c r="I135" t="inlineStr">
        <is>
          <t>69</t>
        </is>
      </c>
      <c r="J135" t="inlineStr"/>
      <c r="K135" t="inlineStr">
        <is>
          <t>沖縄県国頭郡宜野座村宜野座</t>
        </is>
      </c>
      <c r="L135" s="1">
        <f>HYPERLINK("https://www.hi.u-tokyo.ac.jp/collection/degitalgallary/ryukyu/item/20134", "https://www.hi.u-tokyo.ac.jp/collection/degitalgallary/ryukyu/item/20134")</f>
        <v/>
      </c>
    </row>
    <row r="136">
      <c r="A136" t="inlineStr">
        <is>
          <t>20135</t>
        </is>
      </c>
      <c r="B136" t="inlineStr">
        <is>
          <t>歩渡り</t>
        </is>
      </c>
      <c r="C136" t="inlineStr">
        <is>
          <t>渡河点</t>
        </is>
      </c>
      <c r="D136" t="inlineStr"/>
      <c r="E136" t="inlineStr"/>
      <c r="F136" t="inlineStr">
        <is>
          <t>正保琉球国悪鬼納島絵図写</t>
        </is>
      </c>
      <c r="G136" t="inlineStr"/>
      <c r="H136" t="inlineStr"/>
      <c r="I136" t="inlineStr">
        <is>
          <t>70</t>
        </is>
      </c>
      <c r="J136" t="inlineStr"/>
      <c r="K136" t="inlineStr"/>
      <c r="L136" s="1">
        <f>HYPERLINK("https://www.hi.u-tokyo.ac.jp/collection/degitalgallary/ryukyu/item/20135", "https://www.hi.u-tokyo.ac.jp/collection/degitalgallary/ryukyu/item/20135")</f>
        <v/>
      </c>
    </row>
    <row r="137">
      <c r="A137" t="inlineStr">
        <is>
          <t>20136</t>
        </is>
      </c>
      <c r="B137" t="inlineStr">
        <is>
          <t>歩渡り</t>
        </is>
      </c>
      <c r="C137" t="inlineStr">
        <is>
          <t>渡河点</t>
        </is>
      </c>
      <c r="D137" t="inlineStr"/>
      <c r="E137" t="inlineStr"/>
      <c r="F137" t="inlineStr">
        <is>
          <t>正保琉球国悪鬼納島絵図写</t>
        </is>
      </c>
      <c r="G137" t="inlineStr"/>
      <c r="H137" t="inlineStr"/>
      <c r="I137" t="inlineStr">
        <is>
          <t>71</t>
        </is>
      </c>
      <c r="J137" t="inlineStr"/>
      <c r="K137" t="inlineStr"/>
      <c r="L137" s="1">
        <f>HYPERLINK("https://www.hi.u-tokyo.ac.jp/collection/degitalgallary/ryukyu/item/20136", "https://www.hi.u-tokyo.ac.jp/collection/degitalgallary/ryukyu/item/20136")</f>
        <v/>
      </c>
    </row>
    <row r="138">
      <c r="A138" t="inlineStr">
        <is>
          <t>20137</t>
        </is>
      </c>
      <c r="B138" t="inlineStr">
        <is>
          <t>きん崎</t>
        </is>
      </c>
      <c r="C138" t="inlineStr">
        <is>
          <t>崎</t>
        </is>
      </c>
      <c r="D138" t="inlineStr">
        <is>
          <t>26.4400167</t>
        </is>
      </c>
      <c r="E138" t="inlineStr">
        <is>
          <t>127.9488949</t>
        </is>
      </c>
      <c r="F138" t="inlineStr">
        <is>
          <t>正保琉球国悪鬼納島絵図写</t>
        </is>
      </c>
      <c r="G138" t="inlineStr"/>
      <c r="H138" t="inlineStr"/>
      <c r="I138" t="inlineStr">
        <is>
          <t>72</t>
        </is>
      </c>
      <c r="J138" t="inlineStr"/>
      <c r="K138" t="inlineStr">
        <is>
          <t>沖縄県国頭郡金武町金武</t>
        </is>
      </c>
      <c r="L138" s="1">
        <f>HYPERLINK("https://www.hi.u-tokyo.ac.jp/collection/degitalgallary/ryukyu/item/20137", "https://www.hi.u-tokyo.ac.jp/collection/degitalgallary/ryukyu/item/20137")</f>
        <v/>
      </c>
    </row>
    <row r="139">
      <c r="A139" t="inlineStr">
        <is>
          <t>20138</t>
        </is>
      </c>
      <c r="B139" t="inlineStr">
        <is>
          <t>遠干潟</t>
        </is>
      </c>
      <c r="C139" t="inlineStr">
        <is>
          <t>干瀬</t>
        </is>
      </c>
      <c r="D139" t="inlineStr"/>
      <c r="E139" t="inlineStr"/>
      <c r="F139" t="inlineStr">
        <is>
          <t>正保琉球国悪鬼納島絵図写</t>
        </is>
      </c>
      <c r="G139" t="inlineStr"/>
      <c r="H139" t="inlineStr"/>
      <c r="I139" t="inlineStr">
        <is>
          <t>73</t>
        </is>
      </c>
      <c r="J139" t="inlineStr"/>
      <c r="K139" t="inlineStr"/>
      <c r="L139" s="1">
        <f>HYPERLINK("https://www.hi.u-tokyo.ac.jp/collection/degitalgallary/ryukyu/item/20138", "https://www.hi.u-tokyo.ac.jp/collection/degitalgallary/ryukyu/item/20138")</f>
        <v/>
      </c>
    </row>
    <row r="140">
      <c r="A140" t="inlineStr">
        <is>
          <t>20139</t>
        </is>
      </c>
      <c r="B140" t="inlineStr">
        <is>
          <t>おんな崎</t>
        </is>
      </c>
      <c r="C140" t="inlineStr">
        <is>
          <t>崎</t>
        </is>
      </c>
      <c r="D140" t="inlineStr">
        <is>
          <t>26.504552</t>
        </is>
      </c>
      <c r="E140" t="inlineStr">
        <is>
          <t>127.845431</t>
        </is>
      </c>
      <c r="F140" t="inlineStr">
        <is>
          <t>正保琉球国悪鬼納島絵図写</t>
        </is>
      </c>
      <c r="G140" t="inlineStr"/>
      <c r="H140" t="inlineStr"/>
      <c r="I140" t="inlineStr">
        <is>
          <t>74</t>
        </is>
      </c>
      <c r="J140" t="inlineStr"/>
      <c r="K140" t="inlineStr">
        <is>
          <t>沖縄県国頭郡恩納村恩納</t>
        </is>
      </c>
      <c r="L140" s="1">
        <f>HYPERLINK("https://www.hi.u-tokyo.ac.jp/collection/degitalgallary/ryukyu/item/20139", "https://www.hi.u-tokyo.ac.jp/collection/degitalgallary/ryukyu/item/20139")</f>
        <v/>
      </c>
    </row>
    <row r="141">
      <c r="A141" t="inlineStr">
        <is>
          <t>20140</t>
        </is>
      </c>
      <c r="B141" t="inlineStr">
        <is>
          <t>前田崎</t>
        </is>
      </c>
      <c r="C141" t="inlineStr">
        <is>
          <t>崎</t>
        </is>
      </c>
      <c r="D141" t="inlineStr">
        <is>
          <t>26.445481</t>
        </is>
      </c>
      <c r="E141" t="inlineStr">
        <is>
          <t>127.771342</t>
        </is>
      </c>
      <c r="F141" t="inlineStr">
        <is>
          <t>正保琉球国悪鬼納島絵図写</t>
        </is>
      </c>
      <c r="G141" t="inlineStr"/>
      <c r="H141" t="inlineStr"/>
      <c r="I141" t="inlineStr">
        <is>
          <t>75</t>
        </is>
      </c>
      <c r="J141" t="inlineStr"/>
      <c r="K141" t="inlineStr">
        <is>
          <t>沖縄県国頭郡恩納村真栄田</t>
        </is>
      </c>
      <c r="L141" s="1">
        <f>HYPERLINK("https://www.hi.u-tokyo.ac.jp/collection/degitalgallary/ryukyu/item/20140", "https://www.hi.u-tokyo.ac.jp/collection/degitalgallary/ryukyu/item/20140")</f>
        <v/>
      </c>
    </row>
    <row r="142">
      <c r="A142" t="inlineStr">
        <is>
          <t>20141</t>
        </is>
      </c>
      <c r="B142" t="inlineStr">
        <is>
          <t>おにし崎</t>
        </is>
      </c>
      <c r="C142" t="inlineStr">
        <is>
          <t>崎</t>
        </is>
      </c>
      <c r="D142" t="inlineStr">
        <is>
          <t>26.4414306</t>
        </is>
      </c>
      <c r="E142" t="inlineStr">
        <is>
          <t>127.7137645</t>
        </is>
      </c>
      <c r="F142" t="inlineStr">
        <is>
          <t>正保琉球国悪鬼納島絵図写</t>
        </is>
      </c>
      <c r="G142" t="inlineStr"/>
      <c r="H142" t="inlineStr"/>
      <c r="I142" t="inlineStr">
        <is>
          <t>76</t>
        </is>
      </c>
      <c r="J142" t="inlineStr"/>
      <c r="K142" t="inlineStr">
        <is>
          <t>沖縄県中頭郡読谷村宇座</t>
        </is>
      </c>
      <c r="L142" s="1">
        <f>HYPERLINK("https://www.hi.u-tokyo.ac.jp/collection/degitalgallary/ryukyu/item/20141", "https://www.hi.u-tokyo.ac.jp/collection/degitalgallary/ryukyu/item/20141")</f>
        <v/>
      </c>
    </row>
    <row r="143">
      <c r="A143" t="inlineStr">
        <is>
          <t>20142</t>
        </is>
      </c>
      <c r="B143" t="inlineStr">
        <is>
          <t>悪鬼納嶋
高六万弐千百九拾九石
嶋廻七拾四里</t>
        </is>
      </c>
      <c r="C143" t="inlineStr">
        <is>
          <t>島</t>
        </is>
      </c>
      <c r="D143" t="inlineStr"/>
      <c r="E143" t="inlineStr"/>
      <c r="F143" t="inlineStr">
        <is>
          <t>正保琉球国悪鬼納島絵図写</t>
        </is>
      </c>
      <c r="G143" t="inlineStr"/>
      <c r="H143" t="inlineStr"/>
      <c r="I143" t="inlineStr">
        <is>
          <t>77</t>
        </is>
      </c>
      <c r="J143" t="inlineStr"/>
      <c r="K143" t="inlineStr"/>
      <c r="L143" s="1">
        <f>HYPERLINK("https://www.hi.u-tokyo.ac.jp/collection/degitalgallary/ryukyu/item/20142", "https://www.hi.u-tokyo.ac.jp/collection/degitalgallary/ryukyu/item/20142")</f>
        <v/>
      </c>
    </row>
    <row r="144">
      <c r="A144" t="inlineStr">
        <is>
          <t>20143</t>
        </is>
      </c>
      <c r="B144" t="inlineStr">
        <is>
          <t>橋有</t>
        </is>
      </c>
      <c r="C144" t="inlineStr">
        <is>
          <t>渡河点</t>
        </is>
      </c>
      <c r="D144" t="inlineStr"/>
      <c r="E144" t="inlineStr"/>
      <c r="F144" t="inlineStr">
        <is>
          <t>正保琉球国悪鬼納島絵図写</t>
        </is>
      </c>
      <c r="G144" t="inlineStr"/>
      <c r="H144" t="inlineStr"/>
      <c r="I144" t="inlineStr">
        <is>
          <t>78</t>
        </is>
      </c>
      <c r="J144" t="inlineStr"/>
      <c r="K144" t="inlineStr"/>
      <c r="L144" s="1">
        <f>HYPERLINK("https://www.hi.u-tokyo.ac.jp/collection/degitalgallary/ryukyu/item/20143", "https://www.hi.u-tokyo.ac.jp/collection/degitalgallary/ryukyu/item/20143")</f>
        <v/>
      </c>
    </row>
    <row r="145">
      <c r="A145" t="inlineStr">
        <is>
          <t>20144</t>
        </is>
      </c>
      <c r="B145" t="inlineStr">
        <is>
          <t>橋有</t>
        </is>
      </c>
      <c r="C145" t="inlineStr">
        <is>
          <t>渡河点</t>
        </is>
      </c>
      <c r="D145" t="inlineStr"/>
      <c r="E145" t="inlineStr"/>
      <c r="F145" t="inlineStr">
        <is>
          <t>正保琉球国悪鬼納島絵図写</t>
        </is>
      </c>
      <c r="G145" t="inlineStr"/>
      <c r="H145" t="inlineStr"/>
      <c r="I145" t="inlineStr">
        <is>
          <t>79</t>
        </is>
      </c>
      <c r="J145" t="inlineStr"/>
      <c r="K145" t="inlineStr"/>
      <c r="L145" s="1">
        <f>HYPERLINK("https://www.hi.u-tokyo.ac.jp/collection/degitalgallary/ryukyu/item/20144", "https://www.hi.u-tokyo.ac.jp/collection/degitalgallary/ryukyu/item/20144")</f>
        <v/>
      </c>
    </row>
    <row r="146">
      <c r="A146" t="inlineStr">
        <is>
          <t>20145</t>
        </is>
      </c>
      <c r="B146" t="inlineStr">
        <is>
          <t>大湾入江</t>
        </is>
      </c>
      <c r="C146" t="inlineStr">
        <is>
          <t>港湾</t>
        </is>
      </c>
      <c r="D146" t="inlineStr">
        <is>
          <t>26.362301</t>
        </is>
      </c>
      <c r="E146" t="inlineStr">
        <is>
          <t>127.7402355</t>
        </is>
      </c>
      <c r="F146" t="inlineStr">
        <is>
          <t>正保琉球国悪鬼納島絵図写</t>
        </is>
      </c>
      <c r="G146" t="inlineStr">
        <is>
          <t>一、此大湾入江、広さ壱町、深さ三尋
一、大船五六艘程繋ル
一、東風南風西風之時船かゝり不成、</t>
        </is>
      </c>
      <c r="H146" t="inlineStr"/>
      <c r="I146" t="inlineStr">
        <is>
          <t>80</t>
        </is>
      </c>
      <c r="J146" t="inlineStr"/>
      <c r="K146" t="inlineStr">
        <is>
          <t>沖縄県中頭郡嘉手納町水釜</t>
        </is>
      </c>
      <c r="L146" s="1">
        <f>HYPERLINK("https://www.hi.u-tokyo.ac.jp/collection/degitalgallary/ryukyu/item/20145", "https://www.hi.u-tokyo.ac.jp/collection/degitalgallary/ryukyu/item/20145")</f>
        <v/>
      </c>
    </row>
    <row r="147">
      <c r="A147" t="inlineStr">
        <is>
          <t>20146</t>
        </is>
      </c>
      <c r="B147" t="inlineStr">
        <is>
          <t>大湾入江ヨリ那覇湊迄海上五里</t>
        </is>
      </c>
      <c r="C147" t="inlineStr">
        <is>
          <t>航路</t>
        </is>
      </c>
      <c r="D147" t="inlineStr"/>
      <c r="E147" t="inlineStr"/>
      <c r="F147" t="inlineStr">
        <is>
          <t>正保琉球国悪鬼納島絵図写</t>
        </is>
      </c>
      <c r="G147" t="inlineStr"/>
      <c r="H147" t="inlineStr"/>
      <c r="I147" t="inlineStr">
        <is>
          <t>81</t>
        </is>
      </c>
      <c r="J147" t="inlineStr"/>
      <c r="K147" t="inlineStr"/>
      <c r="L147" s="1">
        <f>HYPERLINK("https://www.hi.u-tokyo.ac.jp/collection/degitalgallary/ryukyu/item/20146", "https://www.hi.u-tokyo.ac.jp/collection/degitalgallary/ryukyu/item/20146")</f>
        <v/>
      </c>
    </row>
    <row r="148">
      <c r="A148" t="inlineStr">
        <is>
          <t>20147</t>
        </is>
      </c>
      <c r="B148" t="inlineStr">
        <is>
          <t>歩渡り</t>
        </is>
      </c>
      <c r="C148" t="inlineStr">
        <is>
          <t>渡河点</t>
        </is>
      </c>
      <c r="D148" t="inlineStr"/>
      <c r="E148" t="inlineStr"/>
      <c r="F148" t="inlineStr">
        <is>
          <t>正保琉球国悪鬼納島絵図写</t>
        </is>
      </c>
      <c r="G148" t="inlineStr"/>
      <c r="H148" t="inlineStr"/>
      <c r="I148" t="inlineStr">
        <is>
          <t>82</t>
        </is>
      </c>
      <c r="J148" t="inlineStr"/>
      <c r="K148" t="inlineStr"/>
      <c r="L148" s="1">
        <f>HYPERLINK("https://www.hi.u-tokyo.ac.jp/collection/degitalgallary/ryukyu/item/20147", "https://www.hi.u-tokyo.ac.jp/collection/degitalgallary/ryukyu/item/20147")</f>
        <v/>
      </c>
    </row>
    <row r="149">
      <c r="A149" t="inlineStr">
        <is>
          <t>20148</t>
        </is>
      </c>
      <c r="B149" t="inlineStr">
        <is>
          <t>歩渡り</t>
        </is>
      </c>
      <c r="C149" t="inlineStr">
        <is>
          <t>渡河点</t>
        </is>
      </c>
      <c r="D149" t="inlineStr"/>
      <c r="E149" t="inlineStr"/>
      <c r="F149" t="inlineStr">
        <is>
          <t>正保琉球国悪鬼納島絵図写</t>
        </is>
      </c>
      <c r="G149" t="inlineStr"/>
      <c r="H149" t="inlineStr"/>
      <c r="I149" t="inlineStr">
        <is>
          <t>83</t>
        </is>
      </c>
      <c r="J149" t="inlineStr"/>
      <c r="K149" t="inlineStr"/>
      <c r="L149" s="1">
        <f>HYPERLINK("https://www.hi.u-tokyo.ac.jp/collection/degitalgallary/ryukyu/item/20148", "https://www.hi.u-tokyo.ac.jp/collection/degitalgallary/ryukyu/item/20148")</f>
        <v/>
      </c>
    </row>
    <row r="150">
      <c r="A150" t="inlineStr">
        <is>
          <t>20149</t>
        </is>
      </c>
      <c r="B150" t="inlineStr">
        <is>
          <t>具志川間切大道ヨリ勝連崎迄、弐里八町</t>
        </is>
      </c>
      <c r="C150" t="inlineStr">
        <is>
          <t>陸路</t>
        </is>
      </c>
      <c r="D150" t="inlineStr"/>
      <c r="E150" t="inlineStr"/>
      <c r="F150" t="inlineStr">
        <is>
          <t>正保琉球国悪鬼納島絵図写</t>
        </is>
      </c>
      <c r="G150" t="inlineStr"/>
      <c r="H150" t="inlineStr"/>
      <c r="I150" t="inlineStr">
        <is>
          <t>84</t>
        </is>
      </c>
      <c r="J150" t="inlineStr"/>
      <c r="K150" t="inlineStr"/>
      <c r="L150" s="1">
        <f>HYPERLINK("https://www.hi.u-tokyo.ac.jp/collection/degitalgallary/ryukyu/item/20149", "https://www.hi.u-tokyo.ac.jp/collection/degitalgallary/ryukyu/item/20149")</f>
        <v/>
      </c>
    </row>
    <row r="151">
      <c r="A151" t="inlineStr">
        <is>
          <t>20150</t>
        </is>
      </c>
      <c r="B151" t="inlineStr">
        <is>
          <t>船繋り不成</t>
        </is>
      </c>
      <c r="C151" t="inlineStr">
        <is>
          <t>港湾</t>
        </is>
      </c>
      <c r="D151" t="inlineStr"/>
      <c r="E151" t="inlineStr"/>
      <c r="F151" t="inlineStr">
        <is>
          <t>正保琉球国悪鬼納島絵図写</t>
        </is>
      </c>
      <c r="G151" t="inlineStr"/>
      <c r="H151" t="inlineStr"/>
      <c r="I151" t="inlineStr">
        <is>
          <t>85</t>
        </is>
      </c>
      <c r="J151" t="inlineStr"/>
      <c r="K151" t="inlineStr"/>
      <c r="L151" s="1">
        <f>HYPERLINK("https://www.hi.u-tokyo.ac.jp/collection/degitalgallary/ryukyu/item/20150", "https://www.hi.u-tokyo.ac.jp/collection/degitalgallary/ryukyu/item/20150")</f>
        <v/>
      </c>
    </row>
    <row r="152">
      <c r="A152" t="inlineStr">
        <is>
          <t>20151</t>
        </is>
      </c>
      <c r="B152" t="inlineStr">
        <is>
          <t>勝連浜ヨリつけん嶋迄、海上壱里</t>
        </is>
      </c>
      <c r="C152" t="inlineStr">
        <is>
          <t>陸路</t>
        </is>
      </c>
      <c r="D152" t="inlineStr"/>
      <c r="E152" t="inlineStr"/>
      <c r="F152" t="inlineStr">
        <is>
          <t>正保琉球国悪鬼納島絵図写</t>
        </is>
      </c>
      <c r="G152" t="inlineStr"/>
      <c r="H152" t="inlineStr"/>
      <c r="I152" t="inlineStr">
        <is>
          <t>86</t>
        </is>
      </c>
      <c r="J152" t="inlineStr"/>
      <c r="K152" t="inlineStr"/>
      <c r="L152" s="1">
        <f>HYPERLINK("https://www.hi.u-tokyo.ac.jp/collection/degitalgallary/ryukyu/item/20151", "https://www.hi.u-tokyo.ac.jp/collection/degitalgallary/ryukyu/item/20151")</f>
        <v/>
      </c>
    </row>
    <row r="153">
      <c r="A153" t="inlineStr">
        <is>
          <t>20152</t>
        </is>
      </c>
      <c r="B153" t="inlineStr">
        <is>
          <t>勝連崎</t>
        </is>
      </c>
      <c r="C153" t="inlineStr">
        <is>
          <t>崎</t>
        </is>
      </c>
      <c r="D153" t="inlineStr">
        <is>
          <t>26.295621</t>
        </is>
      </c>
      <c r="E153" t="inlineStr">
        <is>
          <t>127.920849</t>
        </is>
      </c>
      <c r="F153" t="inlineStr">
        <is>
          <t>正保琉球国悪鬼納島絵図写</t>
        </is>
      </c>
      <c r="G153" t="inlineStr"/>
      <c r="H153" t="inlineStr"/>
      <c r="I153" t="inlineStr">
        <is>
          <t>87</t>
        </is>
      </c>
      <c r="J153" t="inlineStr"/>
      <c r="K153" t="inlineStr">
        <is>
          <t>沖縄県うるま市勝連平敷屋</t>
        </is>
      </c>
      <c r="L153" s="1">
        <f>HYPERLINK("https://www.hi.u-tokyo.ac.jp/collection/degitalgallary/ryukyu/item/20152", "https://www.hi.u-tokyo.ac.jp/collection/degitalgallary/ryukyu/item/20152")</f>
        <v/>
      </c>
    </row>
    <row r="154">
      <c r="A154" t="inlineStr">
        <is>
          <t>20153</t>
        </is>
      </c>
      <c r="B154" t="inlineStr">
        <is>
          <t>やふつ嶋</t>
        </is>
      </c>
      <c r="C154" t="inlineStr">
        <is>
          <t>島</t>
        </is>
      </c>
      <c r="D154" t="inlineStr">
        <is>
          <t>26.319459</t>
        </is>
      </c>
      <c r="E154" t="inlineStr">
        <is>
          <t>127.9241506</t>
        </is>
      </c>
      <c r="F154" t="inlineStr">
        <is>
          <t>正保琉球国悪鬼納島絵図写</t>
        </is>
      </c>
      <c r="G154" t="inlineStr">
        <is>
          <t>人居なし</t>
        </is>
      </c>
      <c r="H154" t="inlineStr"/>
      <c r="I154" t="inlineStr">
        <is>
          <t>88</t>
        </is>
      </c>
      <c r="J154" t="inlineStr"/>
      <c r="K154" t="inlineStr">
        <is>
          <t>沖縄県うるま市与那城屋慶名</t>
        </is>
      </c>
      <c r="L154" s="1">
        <f>HYPERLINK("https://www.hi.u-tokyo.ac.jp/collection/degitalgallary/ryukyu/item/20153", "https://www.hi.u-tokyo.ac.jp/collection/degitalgallary/ryukyu/item/20153")</f>
        <v/>
      </c>
    </row>
    <row r="155">
      <c r="A155" t="inlineStr">
        <is>
          <t>20154</t>
        </is>
      </c>
      <c r="B155" t="inlineStr">
        <is>
          <t>干潟</t>
        </is>
      </c>
      <c r="C155" t="inlineStr">
        <is>
          <t>干瀬</t>
        </is>
      </c>
      <c r="D155" t="inlineStr"/>
      <c r="E155" t="inlineStr"/>
      <c r="F155" t="inlineStr">
        <is>
          <t>正保琉球国悪鬼納島絵図写</t>
        </is>
      </c>
      <c r="G155" t="inlineStr"/>
      <c r="H155" t="inlineStr"/>
      <c r="I155" t="inlineStr">
        <is>
          <t>89</t>
        </is>
      </c>
      <c r="J155" t="inlineStr"/>
      <c r="K155" t="inlineStr"/>
      <c r="L155" s="1">
        <f>HYPERLINK("https://www.hi.u-tokyo.ac.jp/collection/degitalgallary/ryukyu/item/20154", "https://www.hi.u-tokyo.ac.jp/collection/degitalgallary/ryukyu/item/20154")</f>
        <v/>
      </c>
    </row>
    <row r="156">
      <c r="A156" t="inlineStr">
        <is>
          <t>20155</t>
        </is>
      </c>
      <c r="B156" t="inlineStr">
        <is>
          <t>平安座嶋</t>
        </is>
      </c>
      <c r="C156" t="inlineStr">
        <is>
          <t>島</t>
        </is>
      </c>
      <c r="D156" t="inlineStr">
        <is>
          <t>26.342154</t>
        </is>
      </c>
      <c r="E156" t="inlineStr">
        <is>
          <t>127.9587111</t>
        </is>
      </c>
      <c r="F156" t="inlineStr">
        <is>
          <t>正保琉球国悪鬼納島絵図写</t>
        </is>
      </c>
      <c r="G156" t="inlineStr">
        <is>
          <t>勝連間切之内
人居有
嶋廻卅一町</t>
        </is>
      </c>
      <c r="H156" t="inlineStr"/>
      <c r="I156" t="inlineStr">
        <is>
          <t>90</t>
        </is>
      </c>
      <c r="J156" t="inlineStr"/>
      <c r="K156" t="inlineStr">
        <is>
          <t>沖縄県うるま市与那城平安座</t>
        </is>
      </c>
      <c r="L156" s="1">
        <f>HYPERLINK("https://www.hi.u-tokyo.ac.jp/collection/degitalgallary/ryukyu/item/20155", "https://www.hi.u-tokyo.ac.jp/collection/degitalgallary/ryukyu/item/20155")</f>
        <v/>
      </c>
    </row>
    <row r="157">
      <c r="A157" t="inlineStr">
        <is>
          <t>20156</t>
        </is>
      </c>
      <c r="B157" t="inlineStr">
        <is>
          <t>船かゝり不成</t>
        </is>
      </c>
      <c r="C157" t="inlineStr">
        <is>
          <t>港湾</t>
        </is>
      </c>
      <c r="D157" t="inlineStr"/>
      <c r="E157" t="inlineStr"/>
      <c r="F157" t="inlineStr">
        <is>
          <t>正保琉球国悪鬼納島絵図写</t>
        </is>
      </c>
      <c r="G157" t="inlineStr"/>
      <c r="H157" t="inlineStr"/>
      <c r="I157" t="inlineStr">
        <is>
          <t>91</t>
        </is>
      </c>
      <c r="J157" t="inlineStr"/>
      <c r="K157" t="inlineStr"/>
      <c r="L157" s="1">
        <f>HYPERLINK("https://www.hi.u-tokyo.ac.jp/collection/degitalgallary/ryukyu/item/20156", "https://www.hi.u-tokyo.ac.jp/collection/degitalgallary/ryukyu/item/20156")</f>
        <v/>
      </c>
    </row>
    <row r="158">
      <c r="A158" t="inlineStr">
        <is>
          <t>20157</t>
        </is>
      </c>
      <c r="B158" t="inlineStr">
        <is>
          <t>みせのひせ</t>
        </is>
      </c>
      <c r="C158" t="inlineStr">
        <is>
          <t>干瀬</t>
        </is>
      </c>
      <c r="D158" t="inlineStr"/>
      <c r="E158" t="inlineStr"/>
      <c r="F158" t="inlineStr">
        <is>
          <t>正保琉球国悪鬼納島絵図写</t>
        </is>
      </c>
      <c r="G158" t="inlineStr"/>
      <c r="H158" t="inlineStr"/>
      <c r="I158" t="inlineStr">
        <is>
          <t>92</t>
        </is>
      </c>
      <c r="J158" t="inlineStr"/>
      <c r="K158" t="inlineStr"/>
      <c r="L158" s="1">
        <f>HYPERLINK("https://www.hi.u-tokyo.ac.jp/collection/degitalgallary/ryukyu/item/20157", "https://www.hi.u-tokyo.ac.jp/collection/degitalgallary/ryukyu/item/20157")</f>
        <v/>
      </c>
    </row>
    <row r="159">
      <c r="A159" t="inlineStr">
        <is>
          <t>20158</t>
        </is>
      </c>
      <c r="B159" t="inlineStr">
        <is>
          <t>此間七町</t>
        </is>
      </c>
      <c r="C159" t="inlineStr">
        <is>
          <t>その他</t>
        </is>
      </c>
      <c r="D159" t="inlineStr"/>
      <c r="E159" t="inlineStr"/>
      <c r="F159" t="inlineStr">
        <is>
          <t>正保琉球国悪鬼納島絵図写</t>
        </is>
      </c>
      <c r="G159" t="inlineStr"/>
      <c r="H159" t="inlineStr"/>
      <c r="I159" t="inlineStr">
        <is>
          <t>93</t>
        </is>
      </c>
      <c r="J159" t="inlineStr"/>
      <c r="K159" t="inlineStr"/>
      <c r="L159" s="1">
        <f>HYPERLINK("https://www.hi.u-tokyo.ac.jp/collection/degitalgallary/ryukyu/item/20158", "https://www.hi.u-tokyo.ac.jp/collection/degitalgallary/ryukyu/item/20158")</f>
        <v/>
      </c>
    </row>
    <row r="160">
      <c r="A160" t="inlineStr">
        <is>
          <t>20159</t>
        </is>
      </c>
      <c r="B160" t="inlineStr">
        <is>
          <t>宮城嶋</t>
        </is>
      </c>
      <c r="C160" t="inlineStr">
        <is>
          <t>島</t>
        </is>
      </c>
      <c r="D160" t="inlineStr">
        <is>
          <t>26.3699159</t>
        </is>
      </c>
      <c r="E160" t="inlineStr">
        <is>
          <t>127.9837545</t>
        </is>
      </c>
      <c r="F160" t="inlineStr">
        <is>
          <t>正保琉球国悪鬼納島絵図写</t>
        </is>
      </c>
      <c r="G160" t="inlineStr">
        <is>
          <t>勝連間切之内
人居有
嶋廻卅四町</t>
        </is>
      </c>
      <c r="H160" t="inlineStr"/>
      <c r="I160" t="inlineStr">
        <is>
          <t>94</t>
        </is>
      </c>
      <c r="J160" t="inlineStr"/>
      <c r="K160" t="inlineStr">
        <is>
          <t>沖縄県うるま市与那城宮城</t>
        </is>
      </c>
      <c r="L160" s="1">
        <f>HYPERLINK("https://www.hi.u-tokyo.ac.jp/collection/degitalgallary/ryukyu/item/20159", "https://www.hi.u-tokyo.ac.jp/collection/degitalgallary/ryukyu/item/20159")</f>
        <v/>
      </c>
    </row>
    <row r="161">
      <c r="A161" t="inlineStr">
        <is>
          <t>20160</t>
        </is>
      </c>
      <c r="B161" t="inlineStr">
        <is>
          <t>船繋り不成</t>
        </is>
      </c>
      <c r="C161" t="inlineStr">
        <is>
          <t>港湾</t>
        </is>
      </c>
      <c r="D161" t="inlineStr"/>
      <c r="E161" t="inlineStr"/>
      <c r="F161" t="inlineStr">
        <is>
          <t>正保琉球国悪鬼納島絵図写</t>
        </is>
      </c>
      <c r="G161" t="inlineStr"/>
      <c r="H161" t="inlineStr"/>
      <c r="I161" t="inlineStr">
        <is>
          <t>95</t>
        </is>
      </c>
      <c r="J161" t="inlineStr"/>
      <c r="K161" t="inlineStr"/>
      <c r="L161" s="1">
        <f>HYPERLINK("https://www.hi.u-tokyo.ac.jp/collection/degitalgallary/ryukyu/item/20160", "https://www.hi.u-tokyo.ac.jp/collection/degitalgallary/ryukyu/item/20160")</f>
        <v/>
      </c>
    </row>
    <row r="162">
      <c r="A162" t="inlineStr">
        <is>
          <t>20161</t>
        </is>
      </c>
      <c r="B162" t="inlineStr">
        <is>
          <t>此間一町廿間</t>
        </is>
      </c>
      <c r="C162" t="inlineStr">
        <is>
          <t>その他</t>
        </is>
      </c>
      <c r="D162" t="inlineStr"/>
      <c r="E162" t="inlineStr"/>
      <c r="F162" t="inlineStr">
        <is>
          <t>正保琉球国悪鬼納島絵図写</t>
        </is>
      </c>
      <c r="G162" t="inlineStr"/>
      <c r="H162" t="inlineStr"/>
      <c r="I162" t="inlineStr">
        <is>
          <t>96</t>
        </is>
      </c>
      <c r="J162" t="inlineStr"/>
      <c r="K162" t="inlineStr"/>
      <c r="L162" s="1">
        <f>HYPERLINK("https://www.hi.u-tokyo.ac.jp/collection/degitalgallary/ryukyu/item/20161", "https://www.hi.u-tokyo.ac.jp/collection/degitalgallary/ryukyu/item/20161")</f>
        <v/>
      </c>
    </row>
    <row r="163">
      <c r="A163" t="inlineStr">
        <is>
          <t>20162</t>
        </is>
      </c>
      <c r="B163" t="inlineStr">
        <is>
          <t>いけ嶋</t>
        </is>
      </c>
      <c r="C163" t="inlineStr">
        <is>
          <t>島</t>
        </is>
      </c>
      <c r="D163" t="inlineStr">
        <is>
          <t>26.393366</t>
        </is>
      </c>
      <c r="E163" t="inlineStr">
        <is>
          <t>127.9969928</t>
        </is>
      </c>
      <c r="F163" t="inlineStr">
        <is>
          <t>正保琉球国悪鬼納島絵図写</t>
        </is>
      </c>
      <c r="G163" t="inlineStr">
        <is>
          <t>勝連間切之内
人居有
嶋廻廿壱町</t>
        </is>
      </c>
      <c r="H163" t="inlineStr"/>
      <c r="I163" t="inlineStr">
        <is>
          <t>97</t>
        </is>
      </c>
      <c r="J163" t="inlineStr"/>
      <c r="K163" t="inlineStr">
        <is>
          <t>沖縄県うるま市与那城伊計</t>
        </is>
      </c>
      <c r="L163" s="1">
        <f>HYPERLINK("https://www.hi.u-tokyo.ac.jp/collection/degitalgallary/ryukyu/item/20162", "https://www.hi.u-tokyo.ac.jp/collection/degitalgallary/ryukyu/item/20162")</f>
        <v/>
      </c>
    </row>
    <row r="164">
      <c r="A164" t="inlineStr">
        <is>
          <t>20163</t>
        </is>
      </c>
      <c r="B164" t="inlineStr">
        <is>
          <t>此間十五町</t>
        </is>
      </c>
      <c r="C164" t="inlineStr">
        <is>
          <t>その他</t>
        </is>
      </c>
      <c r="D164" t="inlineStr"/>
      <c r="E164" t="inlineStr"/>
      <c r="F164" t="inlineStr">
        <is>
          <t>正保琉球国悪鬼納島絵図写</t>
        </is>
      </c>
      <c r="G164" t="inlineStr"/>
      <c r="H164" t="inlineStr"/>
      <c r="I164" t="inlineStr">
        <is>
          <t>98</t>
        </is>
      </c>
      <c r="J164" t="inlineStr"/>
      <c r="K164" t="inlineStr"/>
      <c r="L164" s="1">
        <f>HYPERLINK("https://www.hi.u-tokyo.ac.jp/collection/degitalgallary/ryukyu/item/20163", "https://www.hi.u-tokyo.ac.jp/collection/degitalgallary/ryukyu/item/20163")</f>
        <v/>
      </c>
    </row>
    <row r="165">
      <c r="A165" t="inlineStr">
        <is>
          <t>20164</t>
        </is>
      </c>
      <c r="B165" t="inlineStr">
        <is>
          <t>ばま嶋</t>
        </is>
      </c>
      <c r="C165" t="inlineStr">
        <is>
          <t>島</t>
        </is>
      </c>
      <c r="D165" t="inlineStr">
        <is>
          <t>26.3213245</t>
        </is>
      </c>
      <c r="E165" t="inlineStr">
        <is>
          <t>127.9585947</t>
        </is>
      </c>
      <c r="F165" t="inlineStr">
        <is>
          <t>正保琉球国悪鬼納島絵図写</t>
        </is>
      </c>
      <c r="G165" t="inlineStr">
        <is>
          <t>勝連間切之内
人居有
嶋廻廿八町</t>
        </is>
      </c>
      <c r="H165" t="inlineStr"/>
      <c r="I165" t="inlineStr">
        <is>
          <t>99</t>
        </is>
      </c>
      <c r="J165" t="inlineStr"/>
      <c r="K165" t="inlineStr">
        <is>
          <t>沖縄県うるま市勝連比嘉</t>
        </is>
      </c>
      <c r="L165" s="1">
        <f>HYPERLINK("https://www.hi.u-tokyo.ac.jp/collection/degitalgallary/ryukyu/item/20164", "https://www.hi.u-tokyo.ac.jp/collection/degitalgallary/ryukyu/item/20164")</f>
        <v/>
      </c>
    </row>
    <row r="166">
      <c r="A166" t="inlineStr">
        <is>
          <t>20165</t>
        </is>
      </c>
      <c r="B166" t="inlineStr">
        <is>
          <t>つけん嶋ヨリばま嶋迄海上一里十八町</t>
        </is>
      </c>
      <c r="C166" t="inlineStr">
        <is>
          <t>航路</t>
        </is>
      </c>
      <c r="D166" t="inlineStr"/>
      <c r="E166" t="inlineStr"/>
      <c r="F166" t="inlineStr">
        <is>
          <t>正保琉球国悪鬼納島絵図写</t>
        </is>
      </c>
      <c r="G166" t="inlineStr"/>
      <c r="H166" t="inlineStr"/>
      <c r="I166" t="inlineStr">
        <is>
          <t>100</t>
        </is>
      </c>
      <c r="J166" t="inlineStr"/>
      <c r="K166" t="inlineStr"/>
      <c r="L166" s="1">
        <f>HYPERLINK("https://www.hi.u-tokyo.ac.jp/collection/degitalgallary/ryukyu/item/20165", "https://www.hi.u-tokyo.ac.jp/collection/degitalgallary/ryukyu/item/20165")</f>
        <v/>
      </c>
    </row>
    <row r="167">
      <c r="A167" t="inlineStr">
        <is>
          <t>20166</t>
        </is>
      </c>
      <c r="B167" t="inlineStr">
        <is>
          <t>つけん嶋</t>
        </is>
      </c>
      <c r="C167" t="inlineStr">
        <is>
          <t>島</t>
        </is>
      </c>
      <c r="D167" t="inlineStr">
        <is>
          <t>26.2518375</t>
        </is>
      </c>
      <c r="E167" t="inlineStr">
        <is>
          <t>127.9400504</t>
        </is>
      </c>
      <c r="F167" t="inlineStr">
        <is>
          <t>正保琉球国悪鬼納島絵図写</t>
        </is>
      </c>
      <c r="G167" t="inlineStr">
        <is>
          <t>西原間切之内
人居有
嶋廻一里</t>
        </is>
      </c>
      <c r="H167" t="inlineStr"/>
      <c r="I167" t="inlineStr">
        <is>
          <t>101</t>
        </is>
      </c>
      <c r="J167" t="inlineStr"/>
      <c r="K167" t="inlineStr">
        <is>
          <t>沖縄県うるま市勝連津堅</t>
        </is>
      </c>
      <c r="L167" s="1">
        <f>HYPERLINK("https://www.hi.u-tokyo.ac.jp/collection/degitalgallary/ryukyu/item/20166", "https://www.hi.u-tokyo.ac.jp/collection/degitalgallary/ryukyu/item/20166")</f>
        <v/>
      </c>
    </row>
    <row r="168">
      <c r="A168" t="inlineStr">
        <is>
          <t>20167</t>
        </is>
      </c>
      <c r="B168" t="inlineStr">
        <is>
          <t>船かゝり不成</t>
        </is>
      </c>
      <c r="C168" t="inlineStr">
        <is>
          <t>港湾</t>
        </is>
      </c>
      <c r="D168" t="inlineStr"/>
      <c r="E168" t="inlineStr"/>
      <c r="F168" t="inlineStr">
        <is>
          <t>正保琉球国悪鬼納島絵図写</t>
        </is>
      </c>
      <c r="G168" t="inlineStr"/>
      <c r="H168" t="inlineStr"/>
      <c r="I168" t="inlineStr">
        <is>
          <t>102</t>
        </is>
      </c>
      <c r="J168" t="inlineStr"/>
      <c r="K168" t="inlineStr"/>
      <c r="L168" s="1">
        <f>HYPERLINK("https://www.hi.u-tokyo.ac.jp/collection/degitalgallary/ryukyu/item/20167", "https://www.hi.u-tokyo.ac.jp/collection/degitalgallary/ryukyu/item/20167")</f>
        <v/>
      </c>
    </row>
    <row r="169">
      <c r="A169" t="inlineStr">
        <is>
          <t>20168</t>
        </is>
      </c>
      <c r="B169" t="inlineStr">
        <is>
          <t>此間弐町</t>
        </is>
      </c>
      <c r="C169" t="inlineStr">
        <is>
          <t>その他</t>
        </is>
      </c>
      <c r="D169" t="inlineStr"/>
      <c r="E169" t="inlineStr"/>
      <c r="F169" t="inlineStr">
        <is>
          <t>正保琉球国悪鬼納島絵図写</t>
        </is>
      </c>
      <c r="G169" t="inlineStr"/>
      <c r="H169" t="inlineStr"/>
      <c r="I169" t="inlineStr">
        <is>
          <t>103</t>
        </is>
      </c>
      <c r="J169" t="inlineStr"/>
      <c r="K169" t="inlineStr"/>
      <c r="L169" s="1">
        <f>HYPERLINK("https://www.hi.u-tokyo.ac.jp/collection/degitalgallary/ryukyu/item/20168", "https://www.hi.u-tokyo.ac.jp/collection/degitalgallary/ryukyu/item/20168")</f>
        <v/>
      </c>
    </row>
    <row r="170">
      <c r="A170" t="inlineStr">
        <is>
          <t>20169</t>
        </is>
      </c>
      <c r="B170" t="inlineStr">
        <is>
          <t>あふ嶋</t>
        </is>
      </c>
      <c r="C170" t="inlineStr">
        <is>
          <t>島</t>
        </is>
      </c>
      <c r="D170" t="inlineStr">
        <is>
          <t>26.263965</t>
        </is>
      </c>
      <c r="E170" t="inlineStr">
        <is>
          <t>127.947389</t>
        </is>
      </c>
      <c r="F170" t="inlineStr">
        <is>
          <t>正保琉球国悪鬼納島絵図写</t>
        </is>
      </c>
      <c r="G170" t="inlineStr"/>
      <c r="H170" t="inlineStr"/>
      <c r="I170" t="inlineStr">
        <is>
          <t>104</t>
        </is>
      </c>
      <c r="J170" t="inlineStr"/>
      <c r="K170" t="inlineStr">
        <is>
          <t>沖縄県うるま市勝連津堅</t>
        </is>
      </c>
      <c r="L170" s="1">
        <f>HYPERLINK("https://www.hi.u-tokyo.ac.jp/collection/degitalgallary/ryukyu/item/20169", "https://www.hi.u-tokyo.ac.jp/collection/degitalgallary/ryukyu/item/20169")</f>
        <v/>
      </c>
    </row>
    <row r="171">
      <c r="A171" t="inlineStr">
        <is>
          <t>20170</t>
        </is>
      </c>
      <c r="B171" t="inlineStr">
        <is>
          <t>あせ嶋</t>
        </is>
      </c>
      <c r="C171" t="inlineStr">
        <is>
          <t>島</t>
        </is>
      </c>
      <c r="D171" t="inlineStr">
        <is>
          <t>26.3188891</t>
        </is>
      </c>
      <c r="E171" t="inlineStr">
        <is>
          <t>127.8326572</t>
        </is>
      </c>
      <c r="F171" t="inlineStr">
        <is>
          <t>正保琉球国悪鬼納島絵図写</t>
        </is>
      </c>
      <c r="G171" t="inlineStr"/>
      <c r="H171" t="inlineStr"/>
      <c r="I171" t="inlineStr">
        <is>
          <t>105</t>
        </is>
      </c>
      <c r="J171" t="inlineStr"/>
      <c r="K171" t="inlineStr">
        <is>
          <t>沖縄県沖縄市泡瀬</t>
        </is>
      </c>
      <c r="L171" s="1">
        <f>HYPERLINK("https://www.hi.u-tokyo.ac.jp/collection/degitalgallary/ryukyu/item/20170", "https://www.hi.u-tokyo.ac.jp/collection/degitalgallary/ryukyu/item/20170")</f>
        <v/>
      </c>
    </row>
    <row r="172">
      <c r="A172" t="inlineStr">
        <is>
          <t>20171</t>
        </is>
      </c>
      <c r="B172" t="inlineStr">
        <is>
          <t>あふ嶋</t>
        </is>
      </c>
      <c r="C172" t="inlineStr">
        <is>
          <t>島</t>
        </is>
      </c>
      <c r="D172" t="inlineStr">
        <is>
          <t>26.304178</t>
        </is>
      </c>
      <c r="E172" t="inlineStr">
        <is>
          <t>127.824709</t>
        </is>
      </c>
      <c r="F172" t="inlineStr">
        <is>
          <t>正保琉球国悪鬼納島絵図写</t>
        </is>
      </c>
      <c r="G172" t="inlineStr"/>
      <c r="H172" t="inlineStr"/>
      <c r="I172" t="inlineStr">
        <is>
          <t>106</t>
        </is>
      </c>
      <c r="J172" t="inlineStr"/>
      <c r="K172" t="inlineStr">
        <is>
          <t>沖縄県中頭郡北中城村渡口</t>
        </is>
      </c>
      <c r="L172" s="1">
        <f>HYPERLINK("https://www.hi.u-tokyo.ac.jp/collection/degitalgallary/ryukyu/item/20171", "https://www.hi.u-tokyo.ac.jp/collection/degitalgallary/ryukyu/item/20171")</f>
        <v/>
      </c>
    </row>
    <row r="173">
      <c r="A173" t="inlineStr">
        <is>
          <t>20172</t>
        </is>
      </c>
      <c r="B173" t="inlineStr">
        <is>
          <t>久高嶋</t>
        </is>
      </c>
      <c r="C173" t="inlineStr">
        <is>
          <t>島</t>
        </is>
      </c>
      <c r="D173" t="inlineStr">
        <is>
          <t>26.1611856</t>
        </is>
      </c>
      <c r="E173" t="inlineStr">
        <is>
          <t>127.8923406</t>
        </is>
      </c>
      <c r="F173" t="inlineStr">
        <is>
          <t>正保琉球国悪鬼納島絵図写</t>
        </is>
      </c>
      <c r="G173" t="inlineStr">
        <is>
          <t>知念間切之内
人居有
嶋廻廿九町</t>
        </is>
      </c>
      <c r="H173" t="inlineStr"/>
      <c r="I173" t="inlineStr">
        <is>
          <t>107</t>
        </is>
      </c>
      <c r="J173" t="inlineStr"/>
      <c r="K173" t="inlineStr">
        <is>
          <t>沖縄県南城市知念久高</t>
        </is>
      </c>
      <c r="L173" s="1">
        <f>HYPERLINK("https://www.hi.u-tokyo.ac.jp/collection/degitalgallary/ryukyu/item/20172", "https://www.hi.u-tokyo.ac.jp/collection/degitalgallary/ryukyu/item/20172")</f>
        <v/>
      </c>
    </row>
    <row r="174">
      <c r="A174" t="inlineStr">
        <is>
          <t>20173</t>
        </is>
      </c>
      <c r="B174" t="inlineStr">
        <is>
          <t>船かゝり不成</t>
        </is>
      </c>
      <c r="C174" t="inlineStr">
        <is>
          <t>港湾</t>
        </is>
      </c>
      <c r="D174" t="inlineStr"/>
      <c r="E174" t="inlineStr"/>
      <c r="F174" t="inlineStr">
        <is>
          <t>正保琉球国悪鬼納島絵図写</t>
        </is>
      </c>
      <c r="G174" t="inlineStr"/>
      <c r="H174" t="inlineStr"/>
      <c r="I174" t="inlineStr">
        <is>
          <t>108</t>
        </is>
      </c>
      <c r="J174" t="inlineStr"/>
      <c r="K174" t="inlineStr"/>
      <c r="L174" s="1">
        <f>HYPERLINK("https://www.hi.u-tokyo.ac.jp/collection/degitalgallary/ryukyu/item/20173", "https://www.hi.u-tokyo.ac.jp/collection/degitalgallary/ryukyu/item/20173")</f>
        <v/>
      </c>
    </row>
    <row r="175">
      <c r="A175" t="inlineStr">
        <is>
          <t>20174</t>
        </is>
      </c>
      <c r="B175" t="inlineStr">
        <is>
          <t>こまかせ</t>
        </is>
      </c>
      <c r="C175" t="inlineStr">
        <is>
          <t>干瀬</t>
        </is>
      </c>
      <c r="D175" t="inlineStr">
        <is>
          <t>26.1495348</t>
        </is>
      </c>
      <c r="E175" t="inlineStr">
        <is>
          <t>127.8500428</t>
        </is>
      </c>
      <c r="F175" t="inlineStr">
        <is>
          <t>正保琉球国悪鬼納島絵図写</t>
        </is>
      </c>
      <c r="G175" t="inlineStr"/>
      <c r="H175" t="inlineStr"/>
      <c r="I175" t="inlineStr">
        <is>
          <t>109</t>
        </is>
      </c>
      <c r="J175" t="inlineStr"/>
      <c r="K175" t="inlineStr">
        <is>
          <t>沖縄県南城市知念知念</t>
        </is>
      </c>
      <c r="L175" s="1">
        <f>HYPERLINK("https://www.hi.u-tokyo.ac.jp/collection/degitalgallary/ryukyu/item/20174", "https://www.hi.u-tokyo.ac.jp/collection/degitalgallary/ryukyu/item/20174")</f>
        <v/>
      </c>
    </row>
    <row r="176">
      <c r="A176" t="inlineStr">
        <is>
          <t>20175</t>
        </is>
      </c>
      <c r="B176" t="inlineStr">
        <is>
          <t>知念浜ヨリ久高嶋迄、海上壱里</t>
        </is>
      </c>
      <c r="C176" t="inlineStr">
        <is>
          <t>航路</t>
        </is>
      </c>
      <c r="D176" t="inlineStr"/>
      <c r="E176" t="inlineStr"/>
      <c r="F176" t="inlineStr">
        <is>
          <t>正保琉球国悪鬼納島絵図写</t>
        </is>
      </c>
      <c r="G176" t="inlineStr"/>
      <c r="H176" t="inlineStr"/>
      <c r="I176" t="inlineStr">
        <is>
          <t>110</t>
        </is>
      </c>
      <c r="J176" t="inlineStr"/>
      <c r="K176" t="inlineStr"/>
      <c r="L176" s="1">
        <f>HYPERLINK("https://www.hi.u-tokyo.ac.jp/collection/degitalgallary/ryukyu/item/20175", "https://www.hi.u-tokyo.ac.jp/collection/degitalgallary/ryukyu/item/20175")</f>
        <v/>
      </c>
    </row>
    <row r="177">
      <c r="A177" t="inlineStr">
        <is>
          <t>20176</t>
        </is>
      </c>
      <c r="B177" t="inlineStr">
        <is>
          <t>船かゝり不成</t>
        </is>
      </c>
      <c r="C177" t="inlineStr">
        <is>
          <t>港湾</t>
        </is>
      </c>
      <c r="D177" t="inlineStr"/>
      <c r="E177" t="inlineStr"/>
      <c r="F177" t="inlineStr">
        <is>
          <t>正保琉球国悪鬼納島絵図写</t>
        </is>
      </c>
      <c r="G177" t="inlineStr"/>
      <c r="H177" t="inlineStr"/>
      <c r="I177" t="inlineStr">
        <is>
          <t>111</t>
        </is>
      </c>
      <c r="J177" t="inlineStr"/>
      <c r="K177" t="inlineStr"/>
      <c r="L177" s="1">
        <f>HYPERLINK("https://www.hi.u-tokyo.ac.jp/collection/degitalgallary/ryukyu/item/20176", "https://www.hi.u-tokyo.ac.jp/collection/degitalgallary/ryukyu/item/20176")</f>
        <v/>
      </c>
    </row>
    <row r="178">
      <c r="A178" t="inlineStr">
        <is>
          <t>20177</t>
        </is>
      </c>
      <c r="B178" t="inlineStr">
        <is>
          <t>二俣瀬</t>
        </is>
      </c>
      <c r="C178" t="inlineStr">
        <is>
          <t>干瀬</t>
        </is>
      </c>
      <c r="D178" t="inlineStr">
        <is>
          <t>26.1482912</t>
        </is>
      </c>
      <c r="E178" t="inlineStr">
        <is>
          <t>127.8220332</t>
        </is>
      </c>
      <c r="F178" t="inlineStr">
        <is>
          <t>正保琉球国悪鬼納島絵図写</t>
        </is>
      </c>
      <c r="G178" t="inlineStr"/>
      <c r="H178" t="inlineStr"/>
      <c r="I178" t="inlineStr">
        <is>
          <t>112</t>
        </is>
      </c>
      <c r="J178" t="inlineStr"/>
      <c r="K178" t="inlineStr">
        <is>
          <t>沖縄県南城市知念山里</t>
        </is>
      </c>
      <c r="L178" s="1">
        <f>HYPERLINK("https://www.hi.u-tokyo.ac.jp/collection/degitalgallary/ryukyu/item/20177", "https://www.hi.u-tokyo.ac.jp/collection/degitalgallary/ryukyu/item/20177")</f>
        <v/>
      </c>
    </row>
    <row r="179">
      <c r="A179" t="inlineStr">
        <is>
          <t>20178</t>
        </is>
      </c>
      <c r="B179" t="inlineStr">
        <is>
          <t>あときせ</t>
        </is>
      </c>
      <c r="C179" t="inlineStr">
        <is>
          <t>干瀬</t>
        </is>
      </c>
      <c r="D179" t="inlineStr">
        <is>
          <t>26.1454551</t>
        </is>
      </c>
      <c r="E179" t="inlineStr">
        <is>
          <t>127.8092671</t>
        </is>
      </c>
      <c r="F179" t="inlineStr">
        <is>
          <t>正保琉球国悪鬼納島絵図写</t>
        </is>
      </c>
      <c r="G179" t="inlineStr"/>
      <c r="H179" t="inlineStr"/>
      <c r="I179" t="inlineStr">
        <is>
          <t>113</t>
        </is>
      </c>
      <c r="J179" t="inlineStr"/>
      <c r="K179" t="inlineStr">
        <is>
          <t>沖縄県南城市知念志喜屋</t>
        </is>
      </c>
      <c r="L179" s="1">
        <f>HYPERLINK("https://www.hi.u-tokyo.ac.jp/collection/degitalgallary/ryukyu/item/20178", "https://www.hi.u-tokyo.ac.jp/collection/degitalgallary/ryukyu/item/20178")</f>
        <v/>
      </c>
    </row>
    <row r="180">
      <c r="A180" t="inlineStr">
        <is>
          <t>20179</t>
        </is>
      </c>
      <c r="B180" t="inlineStr">
        <is>
          <t>あふ嶋</t>
        </is>
      </c>
      <c r="C180" t="inlineStr">
        <is>
          <t>島</t>
        </is>
      </c>
      <c r="D180" t="inlineStr">
        <is>
          <t>26.129609</t>
        </is>
      </c>
      <c r="E180" t="inlineStr">
        <is>
          <t>127.773538</t>
        </is>
      </c>
      <c r="F180" t="inlineStr">
        <is>
          <t>正保琉球国悪鬼納島絵図写</t>
        </is>
      </c>
      <c r="G180" t="inlineStr">
        <is>
          <t>人居有</t>
        </is>
      </c>
      <c r="H180" t="inlineStr"/>
      <c r="I180" t="inlineStr">
        <is>
          <t>114</t>
        </is>
      </c>
      <c r="J180" t="inlineStr"/>
      <c r="K180" t="inlineStr">
        <is>
          <t>沖縄県南城市玉城奥武</t>
        </is>
      </c>
      <c r="L180" s="1">
        <f>HYPERLINK("https://www.hi.u-tokyo.ac.jp/collection/degitalgallary/ryukyu/item/20179", "https://www.hi.u-tokyo.ac.jp/collection/degitalgallary/ryukyu/item/20179")</f>
        <v/>
      </c>
    </row>
    <row r="181">
      <c r="A181" t="inlineStr">
        <is>
          <t>20180</t>
        </is>
      </c>
      <c r="B181" t="inlineStr">
        <is>
          <t>橋有</t>
        </is>
      </c>
      <c r="C181" t="inlineStr">
        <is>
          <t>渡河点</t>
        </is>
      </c>
      <c r="D181" t="inlineStr"/>
      <c r="E181" t="inlineStr"/>
      <c r="F181" t="inlineStr">
        <is>
          <t>正保琉球国悪鬼納島絵図写</t>
        </is>
      </c>
      <c r="G181" t="inlineStr"/>
      <c r="H181" t="inlineStr"/>
      <c r="I181" t="inlineStr">
        <is>
          <t>115</t>
        </is>
      </c>
      <c r="J181" t="inlineStr"/>
      <c r="K181" t="inlineStr"/>
      <c r="L181" s="1">
        <f>HYPERLINK("https://www.hi.u-tokyo.ac.jp/collection/degitalgallary/ryukyu/item/20180", "https://www.hi.u-tokyo.ac.jp/collection/degitalgallary/ryukyu/item/20180")</f>
        <v/>
      </c>
    </row>
    <row r="182">
      <c r="A182" t="inlineStr">
        <is>
          <t>20181</t>
        </is>
      </c>
      <c r="B182" t="inlineStr">
        <is>
          <t>首里ヨリ摩文仁間切大道迄三里四町</t>
        </is>
      </c>
      <c r="C182" t="inlineStr">
        <is>
          <t>陸路</t>
        </is>
      </c>
      <c r="D182" t="inlineStr"/>
      <c r="E182" t="inlineStr"/>
      <c r="F182" t="inlineStr">
        <is>
          <t>正保琉球国悪鬼納島絵図写</t>
        </is>
      </c>
      <c r="G182" t="inlineStr"/>
      <c r="H182" t="inlineStr"/>
      <c r="I182" t="inlineStr">
        <is>
          <t>116</t>
        </is>
      </c>
      <c r="J182" t="inlineStr"/>
      <c r="K182" t="inlineStr"/>
      <c r="L182" s="1">
        <f>HYPERLINK("https://www.hi.u-tokyo.ac.jp/collection/degitalgallary/ryukyu/item/20181", "https://www.hi.u-tokyo.ac.jp/collection/degitalgallary/ryukyu/item/20181")</f>
        <v/>
      </c>
    </row>
    <row r="183">
      <c r="A183" t="inlineStr">
        <is>
          <t>20182</t>
        </is>
      </c>
      <c r="B183" t="inlineStr">
        <is>
          <t>歩渡り</t>
        </is>
      </c>
      <c r="C183" t="inlineStr">
        <is>
          <t>渡河点</t>
        </is>
      </c>
      <c r="D183" t="inlineStr"/>
      <c r="E183" t="inlineStr"/>
      <c r="F183" t="inlineStr">
        <is>
          <t>正保琉球国悪鬼納島絵図写</t>
        </is>
      </c>
      <c r="G183" t="inlineStr"/>
      <c r="H183" t="inlineStr"/>
      <c r="I183" t="inlineStr">
        <is>
          <t>117</t>
        </is>
      </c>
      <c r="J183" t="inlineStr"/>
      <c r="K183" t="inlineStr"/>
      <c r="L183" s="1">
        <f>HYPERLINK("https://www.hi.u-tokyo.ac.jp/collection/degitalgallary/ryukyu/item/20182", "https://www.hi.u-tokyo.ac.jp/collection/degitalgallary/ryukyu/item/20182")</f>
        <v/>
      </c>
    </row>
    <row r="184">
      <c r="A184" t="inlineStr">
        <is>
          <t>20183</t>
        </is>
      </c>
      <c r="B184" t="inlineStr">
        <is>
          <t>きやむ崎</t>
        </is>
      </c>
      <c r="C184" t="inlineStr">
        <is>
          <t>崎</t>
        </is>
      </c>
      <c r="D184" t="inlineStr">
        <is>
          <t>26.078864</t>
        </is>
      </c>
      <c r="E184" t="inlineStr">
        <is>
          <t>127.668974</t>
        </is>
      </c>
      <c r="F184" t="inlineStr">
        <is>
          <t>正保琉球国悪鬼納島絵図写</t>
        </is>
      </c>
      <c r="G184" t="inlineStr"/>
      <c r="H184" t="inlineStr"/>
      <c r="I184" t="inlineStr">
        <is>
          <t>118</t>
        </is>
      </c>
      <c r="J184" t="inlineStr"/>
      <c r="K184" t="inlineStr">
        <is>
          <t>沖縄県糸満市喜屋武</t>
        </is>
      </c>
      <c r="L184" s="1">
        <f>HYPERLINK("https://www.hi.u-tokyo.ac.jp/collection/degitalgallary/ryukyu/item/20183", "https://www.hi.u-tokyo.ac.jp/collection/degitalgallary/ryukyu/item/20183")</f>
        <v/>
      </c>
    </row>
    <row r="185">
      <c r="A185" t="inlineStr">
        <is>
          <t>20184</t>
        </is>
      </c>
      <c r="B185" t="inlineStr">
        <is>
          <t>あいけな嶋</t>
        </is>
      </c>
      <c r="C185" t="inlineStr">
        <is>
          <t>島</t>
        </is>
      </c>
      <c r="D185" t="inlineStr">
        <is>
          <t>26.1088573</t>
        </is>
      </c>
      <c r="E185" t="inlineStr">
        <is>
          <t>127.6587844</t>
        </is>
      </c>
      <c r="F185" t="inlineStr">
        <is>
          <t>正保琉球国悪鬼納島絵図写</t>
        </is>
      </c>
      <c r="G185" t="inlineStr"/>
      <c r="H185" t="inlineStr"/>
      <c r="I185" t="inlineStr">
        <is>
          <t>119</t>
        </is>
      </c>
      <c r="J185" t="inlineStr"/>
      <c r="K185" t="inlineStr">
        <is>
          <t>沖縄県糸満市名城</t>
        </is>
      </c>
      <c r="L185" s="1">
        <f>HYPERLINK("https://www.hi.u-tokyo.ac.jp/collection/degitalgallary/ryukyu/item/20184", "https://www.hi.u-tokyo.ac.jp/collection/degitalgallary/ryukyu/item/20184")</f>
        <v/>
      </c>
    </row>
    <row r="186">
      <c r="A186" t="inlineStr">
        <is>
          <t>20185</t>
        </is>
      </c>
      <c r="B186" t="inlineStr">
        <is>
          <t>歩渡り</t>
        </is>
      </c>
      <c r="C186" t="inlineStr">
        <is>
          <t>渡河点</t>
        </is>
      </c>
      <c r="D186" t="inlineStr"/>
      <c r="E186" t="inlineStr"/>
      <c r="F186" t="inlineStr">
        <is>
          <t>正保琉球国悪鬼納島絵図写</t>
        </is>
      </c>
      <c r="G186" t="inlineStr"/>
      <c r="H186" t="inlineStr"/>
      <c r="I186" t="inlineStr">
        <is>
          <t>120</t>
        </is>
      </c>
      <c r="J186" t="inlineStr"/>
      <c r="K186" t="inlineStr"/>
      <c r="L186" s="1">
        <f>HYPERLINK("https://www.hi.u-tokyo.ac.jp/collection/degitalgallary/ryukyu/item/20185", "https://www.hi.u-tokyo.ac.jp/collection/degitalgallary/ryukyu/item/20185")</f>
        <v/>
      </c>
    </row>
    <row r="187">
      <c r="A187" t="inlineStr">
        <is>
          <t>20186</t>
        </is>
      </c>
      <c r="B187" t="inlineStr">
        <is>
          <t>づゝ嶋</t>
        </is>
      </c>
      <c r="C187" t="inlineStr">
        <is>
          <t>島</t>
        </is>
      </c>
      <c r="D187" t="inlineStr">
        <is>
          <t>26.162850</t>
        </is>
      </c>
      <c r="E187" t="inlineStr">
        <is>
          <t>127.659651</t>
        </is>
      </c>
      <c r="F187" t="inlineStr">
        <is>
          <t>正保琉球国悪鬼納島絵図写</t>
        </is>
      </c>
      <c r="G187" t="inlineStr"/>
      <c r="H187" t="inlineStr"/>
      <c r="I187" t="inlineStr">
        <is>
          <t>121</t>
        </is>
      </c>
      <c r="J187" t="inlineStr"/>
      <c r="K187" t="inlineStr">
        <is>
          <t>沖縄県豊見城市与根</t>
        </is>
      </c>
      <c r="L187" s="1">
        <f>HYPERLINK("https://www.hi.u-tokyo.ac.jp/collection/degitalgallary/ryukyu/item/20186", "https://www.hi.u-tokyo.ac.jp/collection/degitalgallary/ryukyu/item/20186")</f>
        <v/>
      </c>
    </row>
    <row r="188">
      <c r="A188" t="inlineStr">
        <is>
          <t>20187</t>
        </is>
      </c>
      <c r="B188" t="inlineStr">
        <is>
          <t>せなか嶋</t>
        </is>
      </c>
      <c r="C188" t="inlineStr">
        <is>
          <t>島</t>
        </is>
      </c>
      <c r="D188" t="inlineStr">
        <is>
          <t>26.1748987</t>
        </is>
      </c>
      <c r="E188" t="inlineStr">
        <is>
          <t>127.6422368</t>
        </is>
      </c>
      <c r="F188" t="inlineStr">
        <is>
          <t>正保琉球国悪鬼納島絵図写</t>
        </is>
      </c>
      <c r="G188" t="inlineStr"/>
      <c r="H188" t="inlineStr"/>
      <c r="I188" t="inlineStr">
        <is>
          <t>122</t>
        </is>
      </c>
      <c r="J188" t="inlineStr"/>
      <c r="K188" t="inlineStr">
        <is>
          <t>沖縄県豊見城市瀬長</t>
        </is>
      </c>
      <c r="L188" s="1">
        <f>HYPERLINK("https://www.hi.u-tokyo.ac.jp/collection/degitalgallary/ryukyu/item/20187", "https://www.hi.u-tokyo.ac.jp/collection/degitalgallary/ryukyu/item/20187")</f>
        <v/>
      </c>
    </row>
    <row r="189">
      <c r="A189" t="inlineStr">
        <is>
          <t>20188</t>
        </is>
      </c>
      <c r="B189" t="inlineStr">
        <is>
          <t>崎はる崎</t>
        </is>
      </c>
      <c r="C189" t="inlineStr">
        <is>
          <t>崎</t>
        </is>
      </c>
      <c r="D189" t="inlineStr">
        <is>
          <t>26.214440</t>
        </is>
      </c>
      <c r="E189" t="inlineStr">
        <is>
          <t>127.650538</t>
        </is>
      </c>
      <c r="F189" t="inlineStr">
        <is>
          <t>正保琉球国悪鬼納島絵図写</t>
        </is>
      </c>
      <c r="G189" t="inlineStr"/>
      <c r="H189" t="inlineStr"/>
      <c r="I189" t="inlineStr">
        <is>
          <t>123</t>
        </is>
      </c>
      <c r="J189" t="inlineStr"/>
      <c r="K189" t="inlineStr">
        <is>
          <t>沖縄県那覇市鏡水</t>
        </is>
      </c>
      <c r="L189" s="1">
        <f>HYPERLINK("https://www.hi.u-tokyo.ac.jp/collection/degitalgallary/ryukyu/item/20188", "https://www.hi.u-tokyo.ac.jp/collection/degitalgallary/ryukyu/item/20188")</f>
        <v/>
      </c>
    </row>
    <row r="190">
      <c r="A190" t="inlineStr">
        <is>
          <t>20189</t>
        </is>
      </c>
      <c r="B190" t="inlineStr">
        <is>
          <t>那覇湊</t>
        </is>
      </c>
      <c r="C190" t="inlineStr">
        <is>
          <t>港湾</t>
        </is>
      </c>
      <c r="D190" t="inlineStr">
        <is>
          <t>26.2107757</t>
        </is>
      </c>
      <c r="E190" t="inlineStr">
        <is>
          <t>127.6701733</t>
        </is>
      </c>
      <c r="F190" t="inlineStr">
        <is>
          <t>正保琉球国悪鬼納島絵図写</t>
        </is>
      </c>
      <c r="G190" t="inlineStr">
        <is>
          <t>一、此那覇湊、入廿弐町、広さ壱町廿間、深さ三尋半
一、大船三拾艘程繋ル、干潮之時船入事不成
一、東風南風之時湊口船入事不成、湊内何風ニ而も船繋リ自由
一、那覇湊ヨリ長崎迄、海上三百里
一、右同湊ヨリ朝鮮国迄、海上四百五十里ト申伝候
一、右同湊ヨリ高砂かみのはな迄、海上弐百五十里ト申伝候、</t>
        </is>
      </c>
      <c r="H190" t="inlineStr"/>
      <c r="I190" t="inlineStr">
        <is>
          <t>124</t>
        </is>
      </c>
      <c r="J190" t="inlineStr"/>
      <c r="K190" t="inlineStr">
        <is>
          <t>沖縄県那覇市通堂町</t>
        </is>
      </c>
      <c r="L190" s="1">
        <f>HYPERLINK("https://www.hi.u-tokyo.ac.jp/collection/degitalgallary/ryukyu/item/20189", "https://www.hi.u-tokyo.ac.jp/collection/degitalgallary/ryukyu/item/20189")</f>
        <v/>
      </c>
    </row>
    <row r="191">
      <c r="A191" t="inlineStr">
        <is>
          <t>20190</t>
        </is>
      </c>
      <c r="B191" t="inlineStr">
        <is>
          <t>一町卅三間舟渡り</t>
        </is>
      </c>
      <c r="C191" t="inlineStr">
        <is>
          <t>航路</t>
        </is>
      </c>
      <c r="D191" t="inlineStr"/>
      <c r="E191" t="inlineStr"/>
      <c r="F191" t="inlineStr">
        <is>
          <t>正保琉球国悪鬼納島絵図写</t>
        </is>
      </c>
      <c r="G191" t="inlineStr"/>
      <c r="H191" t="inlineStr"/>
      <c r="I191" t="inlineStr">
        <is>
          <t>125</t>
        </is>
      </c>
      <c r="J191" t="inlineStr"/>
      <c r="K191" t="inlineStr"/>
      <c r="L191" s="1">
        <f>HYPERLINK("https://www.hi.u-tokyo.ac.jp/collection/degitalgallary/ryukyu/item/20190", "https://www.hi.u-tokyo.ac.jp/collection/degitalgallary/ryukyu/item/20190")</f>
        <v/>
      </c>
    </row>
    <row r="192">
      <c r="A192" t="inlineStr">
        <is>
          <t>20191</t>
        </is>
      </c>
      <c r="B192" t="inlineStr">
        <is>
          <t>波上権現</t>
        </is>
      </c>
      <c r="C192" t="inlineStr">
        <is>
          <t>寺社</t>
        </is>
      </c>
      <c r="D192" t="inlineStr">
        <is>
          <t>26.2203637</t>
        </is>
      </c>
      <c r="E192" t="inlineStr">
        <is>
          <t>127.6712072</t>
        </is>
      </c>
      <c r="F192" t="inlineStr">
        <is>
          <t>正保琉球国悪鬼納島絵図写</t>
        </is>
      </c>
      <c r="G192" t="inlineStr"/>
      <c r="H192" t="inlineStr"/>
      <c r="I192" t="inlineStr">
        <is>
          <t>126</t>
        </is>
      </c>
      <c r="J192" t="inlineStr"/>
      <c r="K192" t="inlineStr">
        <is>
          <t>沖縄県那覇市若狭</t>
        </is>
      </c>
      <c r="L192" s="1">
        <f>HYPERLINK("https://www.hi.u-tokyo.ac.jp/collection/degitalgallary/ryukyu/item/20191", "https://www.hi.u-tokyo.ac.jp/collection/degitalgallary/ryukyu/item/20191")</f>
        <v/>
      </c>
    </row>
    <row r="193">
      <c r="A193" t="inlineStr">
        <is>
          <t>20192</t>
        </is>
      </c>
      <c r="B193" t="inlineStr">
        <is>
          <t>nan</t>
        </is>
      </c>
      <c r="C193" t="inlineStr">
        <is>
          <t>図示</t>
        </is>
      </c>
      <c r="D193" t="inlineStr">
        <is>
          <t>26.211528</t>
        </is>
      </c>
      <c r="E193" t="inlineStr">
        <is>
          <t>127.663639</t>
        </is>
      </c>
      <c r="F193" t="inlineStr">
        <is>
          <t>正保琉球国悪鬼納島絵図写</t>
        </is>
      </c>
      <c r="G193" t="inlineStr"/>
      <c r="H193" t="inlineStr">
        <is>
          <t>屋良座森城</t>
        </is>
      </c>
      <c r="I193" t="inlineStr"/>
      <c r="J193" t="inlineStr"/>
      <c r="K193" t="inlineStr">
        <is>
          <t>沖縄県那覇市住吉町</t>
        </is>
      </c>
      <c r="L193" s="1">
        <f>HYPERLINK("https://www.hi.u-tokyo.ac.jp/collection/degitalgallary/ryukyu/item/20192", "https://www.hi.u-tokyo.ac.jp/collection/degitalgallary/ryukyu/item/20192")</f>
        <v/>
      </c>
    </row>
    <row r="194">
      <c r="A194" t="inlineStr">
        <is>
          <t>20193</t>
        </is>
      </c>
      <c r="B194" t="inlineStr">
        <is>
          <t>nan</t>
        </is>
      </c>
      <c r="C194" t="inlineStr">
        <is>
          <t>図示</t>
        </is>
      </c>
      <c r="D194" t="inlineStr">
        <is>
          <t>26.2138092</t>
        </is>
      </c>
      <c r="E194" t="inlineStr">
        <is>
          <t>127.6651184</t>
        </is>
      </c>
      <c r="F194" t="inlineStr">
        <is>
          <t>正保琉球国悪鬼納島絵図写</t>
        </is>
      </c>
      <c r="G194" t="inlineStr"/>
      <c r="H194" t="inlineStr">
        <is>
          <t>三重城</t>
        </is>
      </c>
      <c r="I194" t="inlineStr"/>
      <c r="J194" t="inlineStr"/>
      <c r="K194" t="inlineStr">
        <is>
          <t>沖縄県那覇市西</t>
        </is>
      </c>
      <c r="L194" s="1">
        <f>HYPERLINK("https://www.hi.u-tokyo.ac.jp/collection/degitalgallary/ryukyu/item/20193", "https://www.hi.u-tokyo.ac.jp/collection/degitalgallary/ryukyu/item/20193")</f>
        <v/>
      </c>
    </row>
    <row r="195">
      <c r="A195" t="inlineStr">
        <is>
          <t>20194</t>
        </is>
      </c>
      <c r="B195" t="inlineStr">
        <is>
          <t>nan</t>
        </is>
      </c>
      <c r="C195" t="inlineStr">
        <is>
          <t>図示</t>
        </is>
      </c>
      <c r="D195" t="inlineStr">
        <is>
          <t>26.208303</t>
        </is>
      </c>
      <c r="E195" t="inlineStr">
        <is>
          <t>127.671390</t>
        </is>
      </c>
      <c r="F195" t="inlineStr">
        <is>
          <t>正保琉球国悪鬼納島絵図写</t>
        </is>
      </c>
      <c r="G195" t="inlineStr"/>
      <c r="H195" t="inlineStr">
        <is>
          <t>御物城</t>
        </is>
      </c>
      <c r="I195" t="inlineStr"/>
      <c r="J195" t="inlineStr"/>
      <c r="K195" t="inlineStr">
        <is>
          <t>沖縄県那覇市垣花町</t>
        </is>
      </c>
      <c r="L195" s="1">
        <f>HYPERLINK("https://www.hi.u-tokyo.ac.jp/collection/degitalgallary/ryukyu/item/20194", "https://www.hi.u-tokyo.ac.jp/collection/degitalgallary/ryukyu/item/20194")</f>
        <v/>
      </c>
    </row>
    <row r="196">
      <c r="A196" t="inlineStr">
        <is>
          <t>20195</t>
        </is>
      </c>
      <c r="B196" t="inlineStr">
        <is>
          <t>nan</t>
        </is>
      </c>
      <c r="C196" t="inlineStr">
        <is>
          <t>図示</t>
        </is>
      </c>
      <c r="D196" t="inlineStr">
        <is>
          <t>26.189237</t>
        </is>
      </c>
      <c r="E196" t="inlineStr">
        <is>
          <t>127.685121</t>
        </is>
      </c>
      <c r="F196" t="inlineStr">
        <is>
          <t>正保琉球国悪鬼納島絵図写</t>
        </is>
      </c>
      <c r="G196" t="inlineStr"/>
      <c r="H196" t="inlineStr">
        <is>
          <t>豊見城</t>
        </is>
      </c>
      <c r="I196" t="inlineStr"/>
      <c r="J196" t="inlineStr"/>
      <c r="K196" t="inlineStr">
        <is>
          <t>沖縄県豊見城市豊見城</t>
        </is>
      </c>
      <c r="L196" s="1">
        <f>HYPERLINK("https://www.hi.u-tokyo.ac.jp/collection/degitalgallary/ryukyu/item/20195", "https://www.hi.u-tokyo.ac.jp/collection/degitalgallary/ryukyu/item/20195")</f>
        <v/>
      </c>
    </row>
    <row r="197">
      <c r="A197" t="inlineStr">
        <is>
          <t>20196</t>
        </is>
      </c>
      <c r="B197" t="inlineStr">
        <is>
          <t>nan</t>
        </is>
      </c>
      <c r="C197" t="inlineStr">
        <is>
          <t>図示</t>
        </is>
      </c>
      <c r="D197" t="inlineStr">
        <is>
          <t>26.229076</t>
        </is>
      </c>
      <c r="E197" t="inlineStr">
        <is>
          <t>127.682057</t>
        </is>
      </c>
      <c r="F197" t="inlineStr">
        <is>
          <t>正保琉球国悪鬼納島絵図写</t>
        </is>
      </c>
      <c r="G197" t="inlineStr"/>
      <c r="H197" t="inlineStr">
        <is>
          <t>天久権現</t>
        </is>
      </c>
      <c r="I197" t="inlineStr"/>
      <c r="J197" t="inlineStr"/>
      <c r="K197" t="inlineStr">
        <is>
          <t>沖縄県那覇市上之屋</t>
        </is>
      </c>
      <c r="L197" s="1">
        <f>HYPERLINK("https://www.hi.u-tokyo.ac.jp/collection/degitalgallary/ryukyu/item/20196", "https://www.hi.u-tokyo.ac.jp/collection/degitalgallary/ryukyu/item/20196")</f>
        <v/>
      </c>
    </row>
    <row r="198">
      <c r="A198" t="inlineStr">
        <is>
          <t>20197</t>
        </is>
      </c>
      <c r="B198" t="inlineStr">
        <is>
          <t>nan</t>
        </is>
      </c>
      <c r="C198" t="inlineStr">
        <is>
          <t>図示</t>
        </is>
      </c>
      <c r="D198" t="inlineStr">
        <is>
          <t>26.227757</t>
        </is>
      </c>
      <c r="E198" t="inlineStr">
        <is>
          <t>127.682768</t>
        </is>
      </c>
      <c r="F198" t="inlineStr">
        <is>
          <t>正保琉球国悪鬼納島絵図写</t>
        </is>
      </c>
      <c r="G198" t="inlineStr"/>
      <c r="H198" t="inlineStr">
        <is>
          <t>聖現寺</t>
        </is>
      </c>
      <c r="I198" t="inlineStr"/>
      <c r="J198" t="inlineStr"/>
      <c r="K198" t="inlineStr">
        <is>
          <t>沖縄県那覇市泊</t>
        </is>
      </c>
      <c r="L198" s="1">
        <f>HYPERLINK("https://www.hi.u-tokyo.ac.jp/collection/degitalgallary/ryukyu/item/20197", "https://www.hi.u-tokyo.ac.jp/collection/degitalgallary/ryukyu/item/20197")</f>
        <v/>
      </c>
    </row>
    <row r="199">
      <c r="A199" t="inlineStr">
        <is>
          <t>20198</t>
        </is>
      </c>
      <c r="B199" t="inlineStr">
        <is>
          <t>nan</t>
        </is>
      </c>
      <c r="C199" t="inlineStr">
        <is>
          <t>図示</t>
        </is>
      </c>
      <c r="D199" t="inlineStr">
        <is>
          <t>26.226030</t>
        </is>
      </c>
      <c r="E199" t="inlineStr">
        <is>
          <t>127.685465</t>
        </is>
      </c>
      <c r="F199" t="inlineStr">
        <is>
          <t>正保琉球国悪鬼納島絵図写</t>
        </is>
      </c>
      <c r="G199" t="inlineStr"/>
      <c r="H199" t="inlineStr">
        <is>
          <t>泊御殿</t>
        </is>
      </c>
      <c r="I199" t="inlineStr"/>
      <c r="J199" t="inlineStr"/>
      <c r="K199" t="inlineStr">
        <is>
          <t>沖縄県那覇市泊</t>
        </is>
      </c>
      <c r="L199" s="1">
        <f>HYPERLINK("https://www.hi.u-tokyo.ac.jp/collection/degitalgallary/ryukyu/item/20198", "https://www.hi.u-tokyo.ac.jp/collection/degitalgallary/ryukyu/item/20198")</f>
        <v/>
      </c>
    </row>
    <row r="200">
      <c r="A200" t="inlineStr">
        <is>
          <t>20199</t>
        </is>
      </c>
      <c r="B200" t="inlineStr">
        <is>
          <t>橋有</t>
        </is>
      </c>
      <c r="C200" t="inlineStr">
        <is>
          <t>渡河点</t>
        </is>
      </c>
      <c r="D200" t="inlineStr"/>
      <c r="E200" t="inlineStr"/>
      <c r="F200" t="inlineStr">
        <is>
          <t>正保琉球国悪鬼納島絵図写</t>
        </is>
      </c>
      <c r="G200" t="inlineStr"/>
      <c r="H200" t="inlineStr">
        <is>
          <t>※橋のアイコンは確認済</t>
        </is>
      </c>
      <c r="I200" t="inlineStr">
        <is>
          <t>127</t>
        </is>
      </c>
      <c r="J200" t="inlineStr"/>
      <c r="K200" t="inlineStr"/>
      <c r="L200" s="1">
        <f>HYPERLINK("https://www.hi.u-tokyo.ac.jp/collection/degitalgallary/ryukyu/item/20199", "https://www.hi.u-tokyo.ac.jp/collection/degitalgallary/ryukyu/item/20199")</f>
        <v/>
      </c>
    </row>
    <row r="201">
      <c r="A201" t="inlineStr">
        <is>
          <t>20200</t>
        </is>
      </c>
      <c r="B201" t="inlineStr">
        <is>
          <t>橋有</t>
        </is>
      </c>
      <c r="C201" t="inlineStr">
        <is>
          <t>渡河点</t>
        </is>
      </c>
      <c r="D201" t="inlineStr"/>
      <c r="E201" t="inlineStr"/>
      <c r="F201" t="inlineStr">
        <is>
          <t>正保琉球国悪鬼納島絵図写</t>
        </is>
      </c>
      <c r="G201" t="inlineStr"/>
      <c r="H201" t="inlineStr">
        <is>
          <t>※橋のアイコンは確認済</t>
        </is>
      </c>
      <c r="I201" t="inlineStr">
        <is>
          <t>128</t>
        </is>
      </c>
      <c r="J201" t="inlineStr"/>
      <c r="K201" t="inlineStr"/>
      <c r="L201" s="1">
        <f>HYPERLINK("https://www.hi.u-tokyo.ac.jp/collection/degitalgallary/ryukyu/item/20200", "https://www.hi.u-tokyo.ac.jp/collection/degitalgallary/ryukyu/item/20200")</f>
        <v/>
      </c>
    </row>
    <row r="202">
      <c r="A202" t="inlineStr">
        <is>
          <t>20201</t>
        </is>
      </c>
      <c r="B202" t="inlineStr">
        <is>
          <t>小湾小川</t>
        </is>
      </c>
      <c r="C202" t="inlineStr">
        <is>
          <t>港湾</t>
        </is>
      </c>
      <c r="D202" t="inlineStr">
        <is>
          <t>26.2541464</t>
        </is>
      </c>
      <c r="E202" t="inlineStr">
        <is>
          <t>127.6878766</t>
        </is>
      </c>
      <c r="F202" t="inlineStr">
        <is>
          <t>正保琉球国悪鬼納島絵図写</t>
        </is>
      </c>
      <c r="G202" t="inlineStr">
        <is>
          <t>広さ十二間、深さ六尺、船出入不自由</t>
        </is>
      </c>
      <c r="H202" t="inlineStr"/>
      <c r="I202" t="inlineStr">
        <is>
          <t>129</t>
        </is>
      </c>
      <c r="J202" t="inlineStr"/>
      <c r="K202" t="inlineStr">
        <is>
          <t>沖縄県浦添市西洲</t>
        </is>
      </c>
      <c r="L202" s="1">
        <f>HYPERLINK("https://www.hi.u-tokyo.ac.jp/collection/degitalgallary/ryukyu/item/20201", "https://www.hi.u-tokyo.ac.jp/collection/degitalgallary/ryukyu/item/20201")</f>
        <v/>
      </c>
    </row>
    <row r="203">
      <c r="A203" t="inlineStr">
        <is>
          <t>20202</t>
        </is>
      </c>
      <c r="B203" t="inlineStr">
        <is>
          <t>まひ湊入江</t>
        </is>
      </c>
      <c r="C203" t="inlineStr">
        <is>
          <t>港湾</t>
        </is>
      </c>
      <c r="D203" t="inlineStr">
        <is>
          <t>26.2649583</t>
        </is>
      </c>
      <c r="E203" t="inlineStr">
        <is>
          <t>127.728419</t>
        </is>
      </c>
      <c r="F203" t="inlineStr">
        <is>
          <t>正保琉球国悪鬼納島絵図写</t>
        </is>
      </c>
      <c r="G203" t="inlineStr">
        <is>
          <t>広さ四拾弐間、船出入不自由</t>
        </is>
      </c>
      <c r="H203" t="inlineStr"/>
      <c r="I203" t="inlineStr">
        <is>
          <t>130</t>
        </is>
      </c>
      <c r="J203" t="inlineStr"/>
      <c r="K203" t="inlineStr">
        <is>
          <t>沖縄県浦添市牧港</t>
        </is>
      </c>
      <c r="L203" s="1">
        <f>HYPERLINK("https://www.hi.u-tokyo.ac.jp/collection/degitalgallary/ryukyu/item/20202", "https://www.hi.u-tokyo.ac.jp/collection/degitalgallary/ryukyu/item/20202")</f>
        <v/>
      </c>
    </row>
    <row r="204">
      <c r="A204" t="inlineStr">
        <is>
          <t>20203</t>
        </is>
      </c>
      <c r="B204" t="inlineStr">
        <is>
          <t>橋有</t>
        </is>
      </c>
      <c r="C204" t="inlineStr">
        <is>
          <t>渡河点</t>
        </is>
      </c>
      <c r="D204" t="inlineStr"/>
      <c r="E204" t="inlineStr"/>
      <c r="F204" t="inlineStr">
        <is>
          <t>正保琉球国悪鬼納島絵図写</t>
        </is>
      </c>
      <c r="G204" t="inlineStr"/>
      <c r="H204" t="inlineStr">
        <is>
          <t>※橋のアイコンは確認済</t>
        </is>
      </c>
      <c r="I204" t="inlineStr">
        <is>
          <t>131</t>
        </is>
      </c>
      <c r="J204" t="inlineStr"/>
      <c r="K204" t="inlineStr"/>
      <c r="L204" s="1">
        <f>HYPERLINK("https://www.hi.u-tokyo.ac.jp/collection/degitalgallary/ryukyu/item/20203", "https://www.hi.u-tokyo.ac.jp/collection/degitalgallary/ryukyu/item/20203")</f>
        <v/>
      </c>
    </row>
    <row r="205">
      <c r="A205" t="inlineStr">
        <is>
          <t>20204</t>
        </is>
      </c>
      <c r="B205" t="inlineStr">
        <is>
          <t>橋有</t>
        </is>
      </c>
      <c r="C205" t="inlineStr">
        <is>
          <t>渡河点</t>
        </is>
      </c>
      <c r="D205" t="inlineStr"/>
      <c r="E205" t="inlineStr"/>
      <c r="F205" t="inlineStr">
        <is>
          <t>正保琉球国悪鬼納島絵図写</t>
        </is>
      </c>
      <c r="G205" t="inlineStr"/>
      <c r="H205" t="inlineStr">
        <is>
          <t>※橋のアイコンは確認済</t>
        </is>
      </c>
      <c r="I205" t="inlineStr">
        <is>
          <t>132</t>
        </is>
      </c>
      <c r="J205" t="inlineStr"/>
      <c r="K205" t="inlineStr"/>
      <c r="L205" s="1">
        <f>HYPERLINK("https://www.hi.u-tokyo.ac.jp/collection/degitalgallary/ryukyu/item/20204", "https://www.hi.u-tokyo.ac.jp/collection/degitalgallary/ryukyu/item/20204")</f>
        <v/>
      </c>
    </row>
    <row r="206">
      <c r="A206" t="inlineStr">
        <is>
          <t>20205</t>
        </is>
      </c>
      <c r="B206" t="inlineStr">
        <is>
          <t>那覇湊ヨリ計羅摩嶋迄、海上七里酉之方ニ当ル</t>
        </is>
      </c>
      <c r="C206" t="inlineStr">
        <is>
          <t>航路</t>
        </is>
      </c>
      <c r="D206" t="inlineStr"/>
      <c r="E206" t="inlineStr"/>
      <c r="F206" t="inlineStr">
        <is>
          <t>正保琉球国悪鬼納島絵図写</t>
        </is>
      </c>
      <c r="G206" t="inlineStr"/>
      <c r="H206" t="inlineStr"/>
      <c r="I206" t="inlineStr">
        <is>
          <t>133</t>
        </is>
      </c>
      <c r="J206" t="inlineStr"/>
      <c r="K206" t="inlineStr"/>
      <c r="L206" s="1">
        <f>HYPERLINK("https://www.hi.u-tokyo.ac.jp/collection/degitalgallary/ryukyu/item/20205", "https://www.hi.u-tokyo.ac.jp/collection/degitalgallary/ryukyu/item/20205")</f>
        <v/>
      </c>
    </row>
    <row r="207">
      <c r="A207" t="inlineStr">
        <is>
          <t>20206</t>
        </is>
      </c>
      <c r="B207" t="inlineStr">
        <is>
          <t>けい嶋</t>
        </is>
      </c>
      <c r="C207" t="inlineStr">
        <is>
          <t>島</t>
        </is>
      </c>
      <c r="D207" t="inlineStr">
        <is>
          <t>26.2622016</t>
        </is>
      </c>
      <c r="E207" t="inlineStr">
        <is>
          <t>127.5824222</t>
        </is>
      </c>
      <c r="F207" t="inlineStr">
        <is>
          <t>正保琉球国悪鬼納島絵図写</t>
        </is>
      </c>
      <c r="G207" t="inlineStr">
        <is>
          <t>無人居</t>
        </is>
      </c>
      <c r="H207" t="inlineStr"/>
      <c r="I207" t="inlineStr">
        <is>
          <t>134</t>
        </is>
      </c>
      <c r="J207" t="inlineStr"/>
      <c r="K207" t="inlineStr">
        <is>
          <t>沖縄県島尻郡渡嘉敷村前島</t>
        </is>
      </c>
      <c r="L207" s="1">
        <f>HYPERLINK("https://www.hi.u-tokyo.ac.jp/collection/degitalgallary/ryukyu/item/20206", "https://www.hi.u-tokyo.ac.jp/collection/degitalgallary/ryukyu/item/20206")</f>
        <v/>
      </c>
    </row>
    <row r="208">
      <c r="A208" t="inlineStr">
        <is>
          <t>20207</t>
        </is>
      </c>
      <c r="B208" t="inlineStr">
        <is>
          <t>大いふ嶋</t>
        </is>
      </c>
      <c r="C208" t="inlineStr">
        <is>
          <t>島</t>
        </is>
      </c>
      <c r="D208" t="inlineStr">
        <is>
          <t>26.2664624</t>
        </is>
      </c>
      <c r="E208" t="inlineStr">
        <is>
          <t>127.5437486</t>
        </is>
      </c>
      <c r="F208" t="inlineStr">
        <is>
          <t>正保琉球国悪鬼納島絵図写</t>
        </is>
      </c>
      <c r="G208" t="inlineStr">
        <is>
          <t>無人居</t>
        </is>
      </c>
      <c r="H208" t="inlineStr"/>
      <c r="I208" t="inlineStr">
        <is>
          <t>135</t>
        </is>
      </c>
      <c r="J208" t="inlineStr"/>
      <c r="K208" t="inlineStr">
        <is>
          <t>沖縄県島尻郡渡嘉敷村前島</t>
        </is>
      </c>
      <c r="L208" s="1">
        <f>HYPERLINK("https://www.hi.u-tokyo.ac.jp/collection/degitalgallary/ryukyu/item/20207", "https://www.hi.u-tokyo.ac.jp/collection/degitalgallary/ryukyu/item/20207")</f>
        <v/>
      </c>
    </row>
    <row r="209">
      <c r="A209" t="inlineStr">
        <is>
          <t>20208</t>
        </is>
      </c>
      <c r="B209" t="inlineStr">
        <is>
          <t>前けらま嶋</t>
        </is>
      </c>
      <c r="C209" t="inlineStr">
        <is>
          <t>島</t>
        </is>
      </c>
      <c r="D209" t="inlineStr">
        <is>
          <t>26.2140161</t>
        </is>
      </c>
      <c r="E209" t="inlineStr">
        <is>
          <t>127.4481295</t>
        </is>
      </c>
      <c r="F209" t="inlineStr">
        <is>
          <t>正保琉球国悪鬼納島絵図写</t>
        </is>
      </c>
      <c r="G209" t="inlineStr">
        <is>
          <t>人居有
嶋廻二十五町</t>
        </is>
      </c>
      <c r="H209" t="inlineStr"/>
      <c r="I209" t="inlineStr">
        <is>
          <t>136</t>
        </is>
      </c>
      <c r="J209" t="inlineStr"/>
      <c r="K209" t="inlineStr">
        <is>
          <t>沖縄県島尻郡渡嘉敷村前島</t>
        </is>
      </c>
      <c r="L209" s="1">
        <f>HYPERLINK("https://www.hi.u-tokyo.ac.jp/collection/degitalgallary/ryukyu/item/20208", "https://www.hi.u-tokyo.ac.jp/collection/degitalgallary/ryukyu/item/20208")</f>
        <v/>
      </c>
    </row>
    <row r="210">
      <c r="A210" t="inlineStr">
        <is>
          <t>20209</t>
        </is>
      </c>
      <c r="B210" t="inlineStr">
        <is>
          <t>黒嶋</t>
        </is>
      </c>
      <c r="C210" t="inlineStr">
        <is>
          <t>島</t>
        </is>
      </c>
      <c r="D210" t="inlineStr">
        <is>
          <t>26.2517472</t>
        </is>
      </c>
      <c r="E210" t="inlineStr">
        <is>
          <t>127.4047547</t>
        </is>
      </c>
      <c r="F210" t="inlineStr">
        <is>
          <t>正保琉球国悪鬼納島絵図写</t>
        </is>
      </c>
      <c r="G210" t="inlineStr">
        <is>
          <t>けらま嶋内
無人居</t>
        </is>
      </c>
      <c r="H210" t="inlineStr"/>
      <c r="I210" t="inlineStr">
        <is>
          <t>137</t>
        </is>
      </c>
      <c r="J210" t="inlineStr"/>
      <c r="K210" t="inlineStr">
        <is>
          <t>沖縄県島尻郡渡嘉敷村前島</t>
        </is>
      </c>
      <c r="L210" s="1">
        <f>HYPERLINK("https://www.hi.u-tokyo.ac.jp/collection/degitalgallary/ryukyu/item/20209", "https://www.hi.u-tokyo.ac.jp/collection/degitalgallary/ryukyu/item/20209")</f>
        <v/>
      </c>
    </row>
    <row r="211">
      <c r="A211" t="inlineStr">
        <is>
          <t>20210</t>
        </is>
      </c>
      <c r="B211" t="inlineStr">
        <is>
          <t>船かゝり不成</t>
        </is>
      </c>
      <c r="C211" t="inlineStr">
        <is>
          <t>港湾</t>
        </is>
      </c>
      <c r="D211" t="inlineStr"/>
      <c r="E211" t="inlineStr"/>
      <c r="F211" t="inlineStr">
        <is>
          <t>正保琉球国悪鬼納島絵図写</t>
        </is>
      </c>
      <c r="G211" t="inlineStr"/>
      <c r="H211" t="inlineStr"/>
      <c r="I211" t="inlineStr">
        <is>
          <t>138</t>
        </is>
      </c>
      <c r="J211" t="inlineStr"/>
      <c r="K211" t="inlineStr"/>
      <c r="L211" s="1">
        <f>HYPERLINK("https://www.hi.u-tokyo.ac.jp/collection/degitalgallary/ryukyu/item/20210", "https://www.hi.u-tokyo.ac.jp/collection/degitalgallary/ryukyu/item/20210")</f>
        <v/>
      </c>
    </row>
    <row r="212">
      <c r="A212" t="inlineStr">
        <is>
          <t>20211</t>
        </is>
      </c>
      <c r="B212" t="inlineStr">
        <is>
          <t>けらま嶋ヨリ赤嶋迄、海上十壱里</t>
        </is>
      </c>
      <c r="C212" t="inlineStr">
        <is>
          <t>航路</t>
        </is>
      </c>
      <c r="D212" t="inlineStr"/>
      <c r="E212" t="inlineStr"/>
      <c r="F212" t="inlineStr">
        <is>
          <t>正保琉球国悪鬼納島絵図写</t>
        </is>
      </c>
      <c r="G212" t="inlineStr"/>
      <c r="H212" t="inlineStr"/>
      <c r="I212" t="inlineStr">
        <is>
          <t>139</t>
        </is>
      </c>
      <c r="J212" t="inlineStr"/>
      <c r="K212" t="inlineStr"/>
      <c r="L212" s="1">
        <f>HYPERLINK("https://www.hi.u-tokyo.ac.jp/collection/degitalgallary/ryukyu/item/20211", "https://www.hi.u-tokyo.ac.jp/collection/degitalgallary/ryukyu/item/20211")</f>
        <v/>
      </c>
    </row>
    <row r="213">
      <c r="A213" t="inlineStr">
        <is>
          <t>20212</t>
        </is>
      </c>
      <c r="B213" t="inlineStr">
        <is>
          <t>此間十八町</t>
        </is>
      </c>
      <c r="C213" t="inlineStr">
        <is>
          <t>その他</t>
        </is>
      </c>
      <c r="D213" t="inlineStr"/>
      <c r="E213" t="inlineStr"/>
      <c r="F213" t="inlineStr">
        <is>
          <t>正保琉球国悪鬼納島絵図写</t>
        </is>
      </c>
      <c r="G213" t="inlineStr"/>
      <c r="H213" t="inlineStr"/>
      <c r="I213" t="inlineStr">
        <is>
          <t>140</t>
        </is>
      </c>
      <c r="J213" t="inlineStr"/>
      <c r="K213" t="inlineStr"/>
      <c r="L213" s="1">
        <f>HYPERLINK("https://www.hi.u-tokyo.ac.jp/collection/degitalgallary/ryukyu/item/20212", "https://www.hi.u-tokyo.ac.jp/collection/degitalgallary/ryukyu/item/20212")</f>
        <v/>
      </c>
    </row>
    <row r="214">
      <c r="A214" t="inlineStr">
        <is>
          <t>20213</t>
        </is>
      </c>
      <c r="B214" t="inlineStr">
        <is>
          <t>此間壱里</t>
        </is>
      </c>
      <c r="C214" t="inlineStr">
        <is>
          <t>その他</t>
        </is>
      </c>
      <c r="D214" t="inlineStr"/>
      <c r="E214" t="inlineStr"/>
      <c r="F214" t="inlineStr">
        <is>
          <t>正保琉球国悪鬼納島絵図写</t>
        </is>
      </c>
      <c r="G214" t="inlineStr"/>
      <c r="H214" t="inlineStr"/>
      <c r="I214" t="inlineStr">
        <is>
          <t>141</t>
        </is>
      </c>
      <c r="J214" t="inlineStr"/>
      <c r="K214" t="inlineStr"/>
      <c r="L214" s="1">
        <f>HYPERLINK("https://www.hi.u-tokyo.ac.jp/collection/degitalgallary/ryukyu/item/20213", "https://www.hi.u-tokyo.ac.jp/collection/degitalgallary/ryukyu/item/20213")</f>
        <v/>
      </c>
    </row>
    <row r="215">
      <c r="A215" t="inlineStr">
        <is>
          <t>20214</t>
        </is>
      </c>
      <c r="B215" t="inlineStr">
        <is>
          <t>安室嶋</t>
        </is>
      </c>
      <c r="C215" t="inlineStr">
        <is>
          <t>島</t>
        </is>
      </c>
      <c r="D215" t="inlineStr">
        <is>
          <t>26.2048303</t>
        </is>
      </c>
      <c r="E215" t="inlineStr">
        <is>
          <t>127.3119103</t>
        </is>
      </c>
      <c r="F215" t="inlineStr">
        <is>
          <t>正保琉球国悪鬼納島絵図写</t>
        </is>
      </c>
      <c r="G215" t="inlineStr">
        <is>
          <t>けらま嶋内
人居なし</t>
        </is>
      </c>
      <c r="H215" t="inlineStr"/>
      <c r="I215" t="inlineStr">
        <is>
          <t>142</t>
        </is>
      </c>
      <c r="J215" t="inlineStr"/>
      <c r="K215" t="inlineStr">
        <is>
          <t>沖縄県島尻郡座間味村座間味</t>
        </is>
      </c>
      <c r="L215" s="1">
        <f>HYPERLINK("https://www.hi.u-tokyo.ac.jp/collection/degitalgallary/ryukyu/item/20214", "https://www.hi.u-tokyo.ac.jp/collection/degitalgallary/ryukyu/item/20214")</f>
        <v/>
      </c>
    </row>
    <row r="216">
      <c r="A216" t="inlineStr">
        <is>
          <t>20215</t>
        </is>
      </c>
      <c r="B216" t="inlineStr">
        <is>
          <t>あけなそこ</t>
        </is>
      </c>
      <c r="C216" t="inlineStr">
        <is>
          <t>島</t>
        </is>
      </c>
      <c r="D216" t="inlineStr">
        <is>
          <t>26.2153377</t>
        </is>
      </c>
      <c r="E216" t="inlineStr">
        <is>
          <t>127.2948646</t>
        </is>
      </c>
      <c r="F216" t="inlineStr">
        <is>
          <t>正保琉球国悪鬼納島絵図写</t>
        </is>
      </c>
      <c r="G216" t="inlineStr"/>
      <c r="H216" t="inlineStr"/>
      <c r="I216" t="inlineStr">
        <is>
          <t>143</t>
        </is>
      </c>
      <c r="J216" t="inlineStr"/>
      <c r="K216" t="inlineStr">
        <is>
          <t>沖縄県島尻郡座間味村座間味</t>
        </is>
      </c>
      <c r="L216" s="1">
        <f>HYPERLINK("https://www.hi.u-tokyo.ac.jp/collection/degitalgallary/ryukyu/item/20215", "https://www.hi.u-tokyo.ac.jp/collection/degitalgallary/ryukyu/item/20215")</f>
        <v/>
      </c>
    </row>
    <row r="217">
      <c r="A217" t="inlineStr">
        <is>
          <t>20216</t>
        </is>
      </c>
      <c r="B217" t="inlineStr">
        <is>
          <t>此間十八町</t>
        </is>
      </c>
      <c r="C217" t="inlineStr">
        <is>
          <t>その他</t>
        </is>
      </c>
      <c r="D217" t="inlineStr"/>
      <c r="E217" t="inlineStr"/>
      <c r="F217" t="inlineStr">
        <is>
          <t>正保琉球国悪鬼納島絵図写</t>
        </is>
      </c>
      <c r="G217" t="inlineStr"/>
      <c r="H217" t="inlineStr"/>
      <c r="I217" t="inlineStr">
        <is>
          <t>144</t>
        </is>
      </c>
      <c r="J217" t="inlineStr"/>
      <c r="K217" t="inlineStr"/>
      <c r="L217" s="1">
        <f>HYPERLINK("https://www.hi.u-tokyo.ac.jp/collection/degitalgallary/ryukyu/item/20216", "https://www.hi.u-tokyo.ac.jp/collection/degitalgallary/ryukyu/item/20216")</f>
        <v/>
      </c>
    </row>
    <row r="218">
      <c r="A218" t="inlineStr">
        <is>
          <t>20217</t>
        </is>
      </c>
      <c r="B218" t="inlineStr">
        <is>
          <t>かび嶋</t>
        </is>
      </c>
      <c r="C218" t="inlineStr">
        <is>
          <t>島</t>
        </is>
      </c>
      <c r="D218" t="inlineStr">
        <is>
          <t>26.2183772</t>
        </is>
      </c>
      <c r="E218" t="inlineStr">
        <is>
          <t>127.2858387</t>
        </is>
      </c>
      <c r="F218" t="inlineStr">
        <is>
          <t>正保琉球国悪鬼納島絵図写</t>
        </is>
      </c>
      <c r="G218" t="inlineStr"/>
      <c r="H218" t="inlineStr"/>
      <c r="I218" t="inlineStr">
        <is>
          <t>145</t>
        </is>
      </c>
      <c r="J218" t="inlineStr"/>
      <c r="K218" t="inlineStr">
        <is>
          <t>沖縄県島尻郡座間味村座間味</t>
        </is>
      </c>
      <c r="L218" s="1">
        <f>HYPERLINK("https://www.hi.u-tokyo.ac.jp/collection/degitalgallary/ryukyu/item/20217", "https://www.hi.u-tokyo.ac.jp/collection/degitalgallary/ryukyu/item/20217")</f>
        <v/>
      </c>
    </row>
    <row r="219">
      <c r="A219" t="inlineStr">
        <is>
          <t>20218</t>
        </is>
      </c>
      <c r="B219" t="inlineStr">
        <is>
          <t>船かゝり不成</t>
        </is>
      </c>
      <c r="C219" t="inlineStr">
        <is>
          <t>港湾</t>
        </is>
      </c>
      <c r="D219" t="inlineStr"/>
      <c r="E219" t="inlineStr"/>
      <c r="F219" t="inlineStr">
        <is>
          <t>正保琉球国悪鬼納島絵図写</t>
        </is>
      </c>
      <c r="G219" t="inlineStr"/>
      <c r="H219" t="inlineStr"/>
      <c r="I219" t="inlineStr">
        <is>
          <t>146</t>
        </is>
      </c>
      <c r="J219" t="inlineStr"/>
      <c r="K219" t="inlineStr"/>
      <c r="L219" s="1">
        <f>HYPERLINK("https://www.hi.u-tokyo.ac.jp/collection/degitalgallary/ryukyu/item/20218", "https://www.hi.u-tokyo.ac.jp/collection/degitalgallary/ryukyu/item/20218")</f>
        <v/>
      </c>
    </row>
    <row r="220">
      <c r="A220" t="inlineStr">
        <is>
          <t>20219</t>
        </is>
      </c>
      <c r="B220" t="inlineStr">
        <is>
          <t>此間一町半</t>
        </is>
      </c>
      <c r="C220" t="inlineStr">
        <is>
          <t>その他</t>
        </is>
      </c>
      <c r="D220" t="inlineStr"/>
      <c r="E220" t="inlineStr"/>
      <c r="F220" t="inlineStr">
        <is>
          <t>正保琉球国悪鬼納島絵図写</t>
        </is>
      </c>
      <c r="G220" t="inlineStr"/>
      <c r="H220" t="inlineStr"/>
      <c r="I220" t="inlineStr">
        <is>
          <t>147</t>
        </is>
      </c>
      <c r="J220" t="inlineStr"/>
      <c r="K220" t="inlineStr"/>
      <c r="L220" s="1">
        <f>HYPERLINK("https://www.hi.u-tokyo.ac.jp/collection/degitalgallary/ryukyu/item/20219", "https://www.hi.u-tokyo.ac.jp/collection/degitalgallary/ryukyu/item/20219")</f>
        <v/>
      </c>
    </row>
    <row r="221">
      <c r="A221" t="inlineStr">
        <is>
          <t>20220</t>
        </is>
      </c>
      <c r="B221" t="inlineStr">
        <is>
          <t>げるま嶋</t>
        </is>
      </c>
      <c r="C221" t="inlineStr">
        <is>
          <t>島</t>
        </is>
      </c>
      <c r="D221" t="inlineStr">
        <is>
          <t>26.1826726</t>
        </is>
      </c>
      <c r="E221" t="inlineStr">
        <is>
          <t>127.2891818</t>
        </is>
      </c>
      <c r="F221" t="inlineStr">
        <is>
          <t>正保琉球国悪鬼納島絵図写</t>
        </is>
      </c>
      <c r="G221" t="inlineStr">
        <is>
          <t>けらま嶋之内
人居有
嶋廻廿弐町</t>
        </is>
      </c>
      <c r="H221" t="inlineStr"/>
      <c r="I221" t="inlineStr">
        <is>
          <t>148</t>
        </is>
      </c>
      <c r="J221" t="inlineStr"/>
      <c r="K221" t="inlineStr">
        <is>
          <t>沖縄県島尻郡座間味村慶留間</t>
        </is>
      </c>
      <c r="L221" s="1">
        <f>HYPERLINK("https://www.hi.u-tokyo.ac.jp/collection/degitalgallary/ryukyu/item/20220", "https://www.hi.u-tokyo.ac.jp/collection/degitalgallary/ryukyu/item/20220")</f>
        <v/>
      </c>
    </row>
    <row r="222">
      <c r="A222" t="inlineStr">
        <is>
          <t>20221</t>
        </is>
      </c>
      <c r="B222" t="inlineStr">
        <is>
          <t>此間一町</t>
        </is>
      </c>
      <c r="C222" t="inlineStr">
        <is>
          <t>その他</t>
        </is>
      </c>
      <c r="D222" t="inlineStr"/>
      <c r="E222" t="inlineStr"/>
      <c r="F222" t="inlineStr">
        <is>
          <t>正保琉球国悪鬼納島絵図写</t>
        </is>
      </c>
      <c r="G222" t="inlineStr"/>
      <c r="H222" t="inlineStr"/>
      <c r="I222" t="inlineStr">
        <is>
          <t>149</t>
        </is>
      </c>
      <c r="J222" t="inlineStr"/>
      <c r="K222" t="inlineStr"/>
      <c r="L222" s="1">
        <f>HYPERLINK("https://www.hi.u-tokyo.ac.jp/collection/degitalgallary/ryukyu/item/20221", "https://www.hi.u-tokyo.ac.jp/collection/degitalgallary/ryukyu/item/20221")</f>
        <v/>
      </c>
    </row>
    <row r="223">
      <c r="A223" t="inlineStr">
        <is>
          <t>20222</t>
        </is>
      </c>
      <c r="B223" t="inlineStr">
        <is>
          <t>もからく嶋</t>
        </is>
      </c>
      <c r="C223" t="inlineStr">
        <is>
          <t>島</t>
        </is>
      </c>
      <c r="D223" t="inlineStr">
        <is>
          <t>26.1675842</t>
        </is>
      </c>
      <c r="E223" t="inlineStr">
        <is>
          <t>127.2931932</t>
        </is>
      </c>
      <c r="F223" t="inlineStr">
        <is>
          <t>正保琉球国悪鬼納島絵図写</t>
        </is>
      </c>
      <c r="G223" t="inlineStr">
        <is>
          <t>けらま嶋之内
無人居</t>
        </is>
      </c>
      <c r="H223" t="inlineStr"/>
      <c r="I223" t="inlineStr">
        <is>
          <t>150</t>
        </is>
      </c>
      <c r="J223" t="inlineStr"/>
      <c r="K223" t="inlineStr">
        <is>
          <t>沖縄県島尻郡座間味村慶留間</t>
        </is>
      </c>
      <c r="L223" s="1">
        <f>HYPERLINK("https://www.hi.u-tokyo.ac.jp/collection/degitalgallary/ryukyu/item/20222", "https://www.hi.u-tokyo.ac.jp/collection/degitalgallary/ryukyu/item/20222")</f>
        <v/>
      </c>
    </row>
    <row r="224">
      <c r="A224" t="inlineStr">
        <is>
          <t>20223</t>
        </is>
      </c>
      <c r="B224" t="inlineStr">
        <is>
          <t>船かゝり不成</t>
        </is>
      </c>
      <c r="C224" t="inlineStr">
        <is>
          <t>港湾</t>
        </is>
      </c>
      <c r="D224" t="inlineStr"/>
      <c r="E224" t="inlineStr"/>
      <c r="F224" t="inlineStr">
        <is>
          <t>正保琉球国悪鬼納島絵図写</t>
        </is>
      </c>
      <c r="G224" t="inlineStr"/>
      <c r="H224" t="inlineStr"/>
      <c r="I224" t="inlineStr">
        <is>
          <t>151</t>
        </is>
      </c>
      <c r="J224" t="inlineStr"/>
      <c r="K224" t="inlineStr"/>
      <c r="L224" s="1">
        <f>HYPERLINK("https://www.hi.u-tokyo.ac.jp/collection/degitalgallary/ryukyu/item/20223", "https://www.hi.u-tokyo.ac.jp/collection/degitalgallary/ryukyu/item/20223")</f>
        <v/>
      </c>
    </row>
    <row r="225">
      <c r="A225" t="inlineStr">
        <is>
          <t>20224</t>
        </is>
      </c>
      <c r="B225" t="inlineStr">
        <is>
          <t>赤嶋ヨリこば嶋迄、海上壱里</t>
        </is>
      </c>
      <c r="C225" t="inlineStr">
        <is>
          <t>航路</t>
        </is>
      </c>
      <c r="D225" t="inlineStr"/>
      <c r="E225" t="inlineStr"/>
      <c r="F225" t="inlineStr">
        <is>
          <t>正保琉球国悪鬼納島絵図写</t>
        </is>
      </c>
      <c r="G225" t="inlineStr"/>
      <c r="H225" t="inlineStr"/>
      <c r="I225" t="inlineStr">
        <is>
          <t>152</t>
        </is>
      </c>
      <c r="J225" t="inlineStr"/>
      <c r="K225" t="inlineStr"/>
      <c r="L225" s="1">
        <f>HYPERLINK("https://www.hi.u-tokyo.ac.jp/collection/degitalgallary/ryukyu/item/20224", "https://www.hi.u-tokyo.ac.jp/collection/degitalgallary/ryukyu/item/20224")</f>
        <v/>
      </c>
    </row>
    <row r="226">
      <c r="A226" t="inlineStr">
        <is>
          <t>20225</t>
        </is>
      </c>
      <c r="B226" t="inlineStr">
        <is>
          <t>船かゝり不成</t>
        </is>
      </c>
      <c r="C226" t="inlineStr">
        <is>
          <t>港湾</t>
        </is>
      </c>
      <c r="D226" t="inlineStr"/>
      <c r="E226" t="inlineStr"/>
      <c r="F226" t="inlineStr">
        <is>
          <t>正保琉球国悪鬼納島絵図写</t>
        </is>
      </c>
      <c r="G226" t="inlineStr"/>
      <c r="H226" t="inlineStr"/>
      <c r="I226" t="inlineStr">
        <is>
          <t>153</t>
        </is>
      </c>
      <c r="J226" t="inlineStr"/>
      <c r="K226" t="inlineStr"/>
      <c r="L226" s="1">
        <f>HYPERLINK("https://www.hi.u-tokyo.ac.jp/collection/degitalgallary/ryukyu/item/20225", "https://www.hi.u-tokyo.ac.jp/collection/degitalgallary/ryukyu/item/20225")</f>
        <v/>
      </c>
    </row>
    <row r="227">
      <c r="A227" t="inlineStr">
        <is>
          <t>20226</t>
        </is>
      </c>
      <c r="B227" t="inlineStr">
        <is>
          <t>こば嶋</t>
        </is>
      </c>
      <c r="C227" t="inlineStr">
        <is>
          <t>島</t>
        </is>
      </c>
      <c r="D227" t="inlineStr">
        <is>
          <t>26.1718829</t>
        </is>
      </c>
      <c r="E227" t="inlineStr">
        <is>
          <t>127.2370125</t>
        </is>
      </c>
      <c r="F227" t="inlineStr">
        <is>
          <t>正保琉球国悪鬼納島絵図写</t>
        </is>
      </c>
      <c r="G227" t="inlineStr">
        <is>
          <t>けらま嶋之内
人居なし</t>
        </is>
      </c>
      <c r="H227" t="inlineStr"/>
      <c r="I227" t="inlineStr">
        <is>
          <t>154</t>
        </is>
      </c>
      <c r="J227" t="inlineStr"/>
      <c r="K227" t="inlineStr">
        <is>
          <t>沖縄県島尻郡座間味村座間味</t>
        </is>
      </c>
      <c r="L227" s="1">
        <f>HYPERLINK("https://www.hi.u-tokyo.ac.jp/collection/degitalgallary/ryukyu/item/20226", "https://www.hi.u-tokyo.ac.jp/collection/degitalgallary/ryukyu/item/20226")</f>
        <v/>
      </c>
    </row>
    <row r="228">
      <c r="A228" t="inlineStr">
        <is>
          <t>20227</t>
        </is>
      </c>
      <c r="B228" t="inlineStr">
        <is>
          <t>けらま嶋之内赤嶋ヨリ宮古嶋はり水迄、海上七拾五里未申之方ニ当ル、此渡昼夜共ニ汐東へ落ス</t>
        </is>
      </c>
      <c r="C228" t="inlineStr">
        <is>
          <t>航路</t>
        </is>
      </c>
      <c r="D228" t="inlineStr"/>
      <c r="E228" t="inlineStr"/>
      <c r="F228" t="inlineStr">
        <is>
          <t>正保琉球国悪鬼納島絵図写</t>
        </is>
      </c>
      <c r="G228" t="inlineStr"/>
      <c r="H228" t="inlineStr"/>
      <c r="I228" t="inlineStr">
        <is>
          <t>155</t>
        </is>
      </c>
      <c r="J228" t="inlineStr"/>
      <c r="K228" t="inlineStr"/>
      <c r="L228" s="1">
        <f>HYPERLINK("https://www.hi.u-tokyo.ac.jp/collection/degitalgallary/ryukyu/item/20227", "https://www.hi.u-tokyo.ac.jp/collection/degitalgallary/ryukyu/item/20227")</f>
        <v/>
      </c>
    </row>
    <row r="229">
      <c r="A229" t="inlineStr">
        <is>
          <t>20228</t>
        </is>
      </c>
      <c r="B229" t="inlineStr">
        <is>
          <t>（合印）</t>
        </is>
      </c>
      <c r="C229" t="inlineStr">
        <is>
          <t>その他</t>
        </is>
      </c>
      <c r="D229" t="inlineStr"/>
      <c r="E229" t="inlineStr"/>
      <c r="F229" t="inlineStr">
        <is>
          <t>正保琉球国悪鬼納島絵図写</t>
        </is>
      </c>
      <c r="G229" t="inlineStr"/>
      <c r="H229" t="inlineStr">
        <is>
          <t>◇◇</t>
        </is>
      </c>
      <c r="I229" t="inlineStr"/>
      <c r="J229" t="inlineStr"/>
      <c r="K229" t="inlineStr"/>
      <c r="L229" s="1">
        <f>HYPERLINK("https://www.hi.u-tokyo.ac.jp/collection/degitalgallary/ryukyu/item/20228", "https://www.hi.u-tokyo.ac.jp/collection/degitalgallary/ryukyu/item/20228")</f>
        <v/>
      </c>
    </row>
    <row r="230">
      <c r="A230" t="inlineStr">
        <is>
          <t>20229</t>
        </is>
      </c>
      <c r="B230" t="inlineStr">
        <is>
          <t>此間拾八町</t>
        </is>
      </c>
      <c r="C230" t="inlineStr">
        <is>
          <t>その他</t>
        </is>
      </c>
      <c r="D230" t="inlineStr"/>
      <c r="E230" t="inlineStr"/>
      <c r="F230" t="inlineStr">
        <is>
          <t>正保琉球国悪鬼納島絵図写</t>
        </is>
      </c>
      <c r="G230" t="inlineStr"/>
      <c r="H230" t="inlineStr"/>
      <c r="I230" t="inlineStr">
        <is>
          <t>156</t>
        </is>
      </c>
      <c r="J230" t="inlineStr"/>
      <c r="K230" t="inlineStr"/>
      <c r="L230" s="1">
        <f>HYPERLINK("https://www.hi.u-tokyo.ac.jp/collection/degitalgallary/ryukyu/item/20229", "https://www.hi.u-tokyo.ac.jp/collection/degitalgallary/ryukyu/item/20229")</f>
        <v/>
      </c>
    </row>
    <row r="231">
      <c r="A231" t="inlineStr">
        <is>
          <t>20230</t>
        </is>
      </c>
      <c r="B231" t="inlineStr">
        <is>
          <t>やかひ嶋</t>
        </is>
      </c>
      <c r="C231" t="inlineStr">
        <is>
          <t>島</t>
        </is>
      </c>
      <c r="D231" t="inlineStr">
        <is>
          <t>26.2149059</t>
        </is>
      </c>
      <c r="E231" t="inlineStr">
        <is>
          <t>127.245041</t>
        </is>
      </c>
      <c r="F231" t="inlineStr">
        <is>
          <t>正保琉球国悪鬼納島絵図写</t>
        </is>
      </c>
      <c r="G231" t="inlineStr">
        <is>
          <t>けらま嶋之内
人居なし</t>
        </is>
      </c>
      <c r="H231" t="inlineStr"/>
      <c r="I231" t="inlineStr">
        <is>
          <t>157</t>
        </is>
      </c>
      <c r="J231" t="inlineStr"/>
      <c r="K231" t="inlineStr">
        <is>
          <t>沖縄県島尻郡座間味村座間味</t>
        </is>
      </c>
      <c r="L231" s="1">
        <f>HYPERLINK("https://www.hi.u-tokyo.ac.jp/collection/degitalgallary/ryukyu/item/20230", "https://www.hi.u-tokyo.ac.jp/collection/degitalgallary/ryukyu/item/20230")</f>
        <v/>
      </c>
    </row>
    <row r="232">
      <c r="A232" t="inlineStr">
        <is>
          <t>20231</t>
        </is>
      </c>
      <c r="B232" t="inlineStr">
        <is>
          <t>悪鬼納嶋之内那覇湊ヨリ久米嶋迄、海上四拾八里酉戌之間ニ当ル</t>
        </is>
      </c>
      <c r="C232" t="inlineStr">
        <is>
          <t>航路</t>
        </is>
      </c>
      <c r="D232" t="inlineStr"/>
      <c r="E232" t="inlineStr"/>
      <c r="F232" t="inlineStr">
        <is>
          <t>正保琉球国悪鬼納島絵図写</t>
        </is>
      </c>
      <c r="G232" t="inlineStr"/>
      <c r="H232" t="inlineStr"/>
      <c r="I232" t="inlineStr">
        <is>
          <t>158</t>
        </is>
      </c>
      <c r="J232" t="inlineStr"/>
      <c r="K232" t="inlineStr"/>
      <c r="L232" s="1">
        <f>HYPERLINK("https://www.hi.u-tokyo.ac.jp/collection/degitalgallary/ryukyu/item/20231", "https://www.hi.u-tokyo.ac.jp/collection/degitalgallary/ryukyu/item/20231")</f>
        <v/>
      </c>
    </row>
    <row r="233">
      <c r="A233" t="inlineStr">
        <is>
          <t>20232</t>
        </is>
      </c>
      <c r="B233" t="inlineStr">
        <is>
          <t>那覇湊ヨリ戸無嶋迄、海上廿六里戌亥之間ニ当ル</t>
        </is>
      </c>
      <c r="C233" t="inlineStr">
        <is>
          <t>航路</t>
        </is>
      </c>
      <c r="D233" t="inlineStr"/>
      <c r="E233" t="inlineStr"/>
      <c r="F233" t="inlineStr">
        <is>
          <t>正保琉球国悪鬼納島絵図写</t>
        </is>
      </c>
      <c r="G233" t="inlineStr"/>
      <c r="H233" t="inlineStr"/>
      <c r="I233" t="inlineStr">
        <is>
          <t>159</t>
        </is>
      </c>
      <c r="J233" t="inlineStr"/>
      <c r="K233" t="inlineStr"/>
      <c r="L233" s="1">
        <f>HYPERLINK("https://www.hi.u-tokyo.ac.jp/collection/degitalgallary/ryukyu/item/20232", "https://www.hi.u-tokyo.ac.jp/collection/degitalgallary/ryukyu/item/20232")</f>
        <v/>
      </c>
    </row>
    <row r="234">
      <c r="A234" t="inlineStr">
        <is>
          <t>20233</t>
        </is>
      </c>
      <c r="B234" t="inlineStr">
        <is>
          <t>悪鬼納嶋之内那覇湊ヨリ粟嶋迄、海上三拾里亥子之間ニ当ル</t>
        </is>
      </c>
      <c r="C234" t="inlineStr">
        <is>
          <t>航路</t>
        </is>
      </c>
      <c r="D234" t="inlineStr"/>
      <c r="E234" t="inlineStr"/>
      <c r="F234" t="inlineStr">
        <is>
          <t>正保琉球国悪鬼納島絵図写</t>
        </is>
      </c>
      <c r="G234" t="inlineStr"/>
      <c r="H234" t="inlineStr"/>
      <c r="I234" t="inlineStr">
        <is>
          <t>160</t>
        </is>
      </c>
      <c r="J234" t="inlineStr"/>
      <c r="K234" t="inlineStr"/>
      <c r="L234" s="1">
        <f>HYPERLINK("https://www.hi.u-tokyo.ac.jp/collection/degitalgallary/ryukyu/item/20233", "https://www.hi.u-tokyo.ac.jp/collection/degitalgallary/ryukyu/item/20233")</f>
        <v/>
      </c>
    </row>
    <row r="235">
      <c r="A235" t="inlineStr">
        <is>
          <t>20234</t>
        </is>
      </c>
      <c r="B235" t="inlineStr">
        <is>
          <t>おかみ崎</t>
        </is>
      </c>
      <c r="C235" t="inlineStr">
        <is>
          <t>崎</t>
        </is>
      </c>
      <c r="D235" t="inlineStr">
        <is>
          <t>26.357689</t>
        </is>
      </c>
      <c r="E235" t="inlineStr">
        <is>
          <t>126.930285</t>
        </is>
      </c>
      <c r="F235" t="inlineStr">
        <is>
          <t>正保琉球国悪鬼納島絵図写</t>
        </is>
      </c>
      <c r="G235" t="inlineStr"/>
      <c r="H235" t="inlineStr"/>
      <c r="I235" t="inlineStr">
        <is>
          <t>161</t>
        </is>
      </c>
      <c r="J235" t="inlineStr"/>
      <c r="K235" t="inlineStr">
        <is>
          <t>沖縄県島尻郡久米島町奥武</t>
        </is>
      </c>
      <c r="L235" s="1">
        <f>HYPERLINK("https://www.hi.u-tokyo.ac.jp/collection/degitalgallary/ryukyu/item/20234", "https://www.hi.u-tokyo.ac.jp/collection/degitalgallary/ryukyu/item/20234")</f>
        <v/>
      </c>
    </row>
    <row r="236">
      <c r="A236" t="inlineStr">
        <is>
          <t>20235</t>
        </is>
      </c>
      <c r="B236" t="inlineStr">
        <is>
          <t>那覇湊ヨリ久米嶋兼城湊迄、海上四拾八里</t>
        </is>
      </c>
      <c r="C236" t="inlineStr">
        <is>
          <t>航路</t>
        </is>
      </c>
      <c r="D236" t="inlineStr"/>
      <c r="E236" t="inlineStr"/>
      <c r="F236" t="inlineStr">
        <is>
          <t>正保琉球国悪鬼納島絵図写</t>
        </is>
      </c>
      <c r="G236" t="inlineStr"/>
      <c r="H236" t="inlineStr"/>
      <c r="I236" t="inlineStr">
        <is>
          <t>162</t>
        </is>
      </c>
      <c r="J236" t="inlineStr"/>
      <c r="K236" t="inlineStr"/>
      <c r="L236" s="1">
        <f>HYPERLINK("https://www.hi.u-tokyo.ac.jp/collection/degitalgallary/ryukyu/item/20235", "https://www.hi.u-tokyo.ac.jp/collection/degitalgallary/ryukyu/item/20235")</f>
        <v/>
      </c>
    </row>
    <row r="237">
      <c r="A237" t="inlineStr">
        <is>
          <t>20236</t>
        </is>
      </c>
      <c r="B237" t="inlineStr">
        <is>
          <t>まちや入江ヨリおかみ崎迄、七里</t>
        </is>
      </c>
      <c r="C237" t="inlineStr">
        <is>
          <t>干瀬</t>
        </is>
      </c>
      <c r="D237" t="inlineStr"/>
      <c r="E237" t="inlineStr"/>
      <c r="F237" t="inlineStr">
        <is>
          <t>正保琉球国悪鬼納島絵図写</t>
        </is>
      </c>
      <c r="G237" t="inlineStr"/>
      <c r="H237" t="inlineStr"/>
      <c r="I237" t="inlineStr">
        <is>
          <t>163</t>
        </is>
      </c>
      <c r="J237" t="inlineStr"/>
      <c r="K237" t="inlineStr"/>
      <c r="L237" s="1">
        <f>HYPERLINK("https://www.hi.u-tokyo.ac.jp/collection/degitalgallary/ryukyu/item/20236", "https://www.hi.u-tokyo.ac.jp/collection/degitalgallary/ryukyu/item/20236")</f>
        <v/>
      </c>
    </row>
    <row r="238">
      <c r="A238" t="inlineStr">
        <is>
          <t>20237</t>
        </is>
      </c>
      <c r="B238" t="inlineStr">
        <is>
          <t>おは嶋</t>
        </is>
      </c>
      <c r="C238" t="inlineStr">
        <is>
          <t>島</t>
        </is>
      </c>
      <c r="D238" t="inlineStr">
        <is>
          <t>26.3416888</t>
        </is>
      </c>
      <c r="E238" t="inlineStr">
        <is>
          <t>126.8395616</t>
        </is>
      </c>
      <c r="F238" t="inlineStr">
        <is>
          <t>正保琉球国悪鬼納島絵図写</t>
        </is>
      </c>
      <c r="G238" t="inlineStr">
        <is>
          <t>無人居</t>
        </is>
      </c>
      <c r="H238" t="inlineStr"/>
      <c r="I238" t="inlineStr">
        <is>
          <t>164</t>
        </is>
      </c>
      <c r="J238" t="inlineStr"/>
      <c r="K238" t="inlineStr">
        <is>
          <t>沖縄県島尻郡久米島町奥武</t>
        </is>
      </c>
      <c r="L238" s="1">
        <f>HYPERLINK("https://www.hi.u-tokyo.ac.jp/collection/degitalgallary/ryukyu/item/20237", "https://www.hi.u-tokyo.ac.jp/collection/degitalgallary/ryukyu/item/20237")</f>
        <v/>
      </c>
    </row>
    <row r="239">
      <c r="A239" t="inlineStr">
        <is>
          <t>20238</t>
        </is>
      </c>
      <c r="B239" t="inlineStr">
        <is>
          <t>此間弐町干汐ノ時歩渡り</t>
        </is>
      </c>
      <c r="C239" t="inlineStr">
        <is>
          <t>渡河点</t>
        </is>
      </c>
      <c r="D239" t="inlineStr"/>
      <c r="E239" t="inlineStr"/>
      <c r="F239" t="inlineStr">
        <is>
          <t>正保琉球国悪鬼納島絵図写</t>
        </is>
      </c>
      <c r="G239" t="inlineStr"/>
      <c r="H239" t="inlineStr"/>
      <c r="I239" t="inlineStr">
        <is>
          <t>165</t>
        </is>
      </c>
      <c r="J239" t="inlineStr"/>
      <c r="K239" t="inlineStr"/>
      <c r="L239" s="1">
        <f>HYPERLINK("https://www.hi.u-tokyo.ac.jp/collection/degitalgallary/ryukyu/item/20238", "https://www.hi.u-tokyo.ac.jp/collection/degitalgallary/ryukyu/item/20238")</f>
        <v/>
      </c>
    </row>
    <row r="240">
      <c r="A240" t="inlineStr">
        <is>
          <t>20239</t>
        </is>
      </c>
      <c r="B240" t="inlineStr">
        <is>
          <t>あふ嶋</t>
        </is>
      </c>
      <c r="C240" t="inlineStr">
        <is>
          <t>島</t>
        </is>
      </c>
      <c r="D240" t="inlineStr">
        <is>
          <t>26.3395072</t>
        </is>
      </c>
      <c r="E240" t="inlineStr">
        <is>
          <t>126.8290646</t>
        </is>
      </c>
      <c r="F240" t="inlineStr">
        <is>
          <t>正保琉球国悪鬼納島絵図写</t>
        </is>
      </c>
      <c r="G240" t="inlineStr">
        <is>
          <t>人居なし</t>
        </is>
      </c>
      <c r="H240" t="inlineStr"/>
      <c r="I240" t="inlineStr">
        <is>
          <t>166</t>
        </is>
      </c>
      <c r="J240" t="inlineStr"/>
      <c r="K240" t="inlineStr">
        <is>
          <t>沖縄県島尻郡久米島町奥武</t>
        </is>
      </c>
      <c r="L240" s="1">
        <f>HYPERLINK("https://www.hi.u-tokyo.ac.jp/collection/degitalgallary/ryukyu/item/20239", "https://www.hi.u-tokyo.ac.jp/collection/degitalgallary/ryukyu/item/20239")</f>
        <v/>
      </c>
    </row>
    <row r="241">
      <c r="A241" t="inlineStr">
        <is>
          <t>20240</t>
        </is>
      </c>
      <c r="B241" t="inlineStr">
        <is>
          <t>此間五町干汐ノ時歩渡り</t>
        </is>
      </c>
      <c r="C241" t="inlineStr">
        <is>
          <t>渡河点</t>
        </is>
      </c>
      <c r="D241" t="inlineStr"/>
      <c r="E241" t="inlineStr"/>
      <c r="F241" t="inlineStr">
        <is>
          <t>正保琉球国悪鬼納島絵図写</t>
        </is>
      </c>
      <c r="G241" t="inlineStr"/>
      <c r="H241" t="inlineStr"/>
      <c r="I241" t="inlineStr">
        <is>
          <t>167</t>
        </is>
      </c>
      <c r="J241" t="inlineStr"/>
      <c r="K241" t="inlineStr"/>
      <c r="L241" s="1">
        <f>HYPERLINK("https://www.hi.u-tokyo.ac.jp/collection/degitalgallary/ryukyu/item/20240", "https://www.hi.u-tokyo.ac.jp/collection/degitalgallary/ryukyu/item/20240")</f>
        <v/>
      </c>
    </row>
    <row r="242">
      <c r="A242" t="inlineStr">
        <is>
          <t>20241</t>
        </is>
      </c>
      <c r="B242" t="inlineStr">
        <is>
          <t>まちや入江</t>
        </is>
      </c>
      <c r="C242" t="inlineStr">
        <is>
          <t>港湾</t>
        </is>
      </c>
      <c r="D242" t="inlineStr">
        <is>
          <t>26.3510624</t>
        </is>
      </c>
      <c r="E242" t="inlineStr">
        <is>
          <t>126.8248115</t>
        </is>
      </c>
      <c r="F242" t="inlineStr">
        <is>
          <t>正保琉球国悪鬼納島絵図写</t>
        </is>
      </c>
      <c r="G242" t="inlineStr">
        <is>
          <t>一、此まちや入江、壱町左右水底はへ有
一、船出入不自由</t>
        </is>
      </c>
      <c r="H242" t="inlineStr"/>
      <c r="I242" t="inlineStr">
        <is>
          <t>168</t>
        </is>
      </c>
      <c r="J242" t="inlineStr"/>
      <c r="K242" t="inlineStr"/>
      <c r="L242" s="1">
        <f>HYPERLINK("https://www.hi.u-tokyo.ac.jp/collection/degitalgallary/ryukyu/item/20241", "https://www.hi.u-tokyo.ac.jp/collection/degitalgallary/ryukyu/item/20241")</f>
        <v/>
      </c>
    </row>
    <row r="243">
      <c r="A243" t="inlineStr">
        <is>
          <t>20242</t>
        </is>
      </c>
      <c r="B243" t="inlineStr">
        <is>
          <t>久米嶋
高三千六百七拾七石七斗
嶋廻六里廿町</t>
        </is>
      </c>
      <c r="C243" t="inlineStr">
        <is>
          <t>島</t>
        </is>
      </c>
      <c r="D243" t="inlineStr">
        <is>
          <t>26.3503959</t>
        </is>
      </c>
      <c r="E243" t="inlineStr">
        <is>
          <t>126.7711774</t>
        </is>
      </c>
      <c r="F243" t="inlineStr">
        <is>
          <t>正保琉球国悪鬼納島絵図写</t>
        </is>
      </c>
      <c r="G243" t="inlineStr"/>
      <c r="H243" t="inlineStr"/>
      <c r="I243" t="inlineStr">
        <is>
          <t>169</t>
        </is>
      </c>
      <c r="J243" t="inlineStr"/>
      <c r="K243" t="inlineStr">
        <is>
          <t>沖縄県島尻郡久米島町嘉手苅</t>
        </is>
      </c>
      <c r="L243" s="1">
        <f>HYPERLINK("https://www.hi.u-tokyo.ac.jp/collection/degitalgallary/ryukyu/item/20242", "https://www.hi.u-tokyo.ac.jp/collection/degitalgallary/ryukyu/item/20242")</f>
        <v/>
      </c>
    </row>
    <row r="244">
      <c r="A244" t="inlineStr">
        <is>
          <t>20243</t>
        </is>
      </c>
      <c r="B244" t="inlineStr">
        <is>
          <t>此間海上五里</t>
        </is>
      </c>
      <c r="C244" t="inlineStr">
        <is>
          <t>その他</t>
        </is>
      </c>
      <c r="D244" t="inlineStr"/>
      <c r="E244" t="inlineStr"/>
      <c r="F244" t="inlineStr">
        <is>
          <t>正保琉球国悪鬼納島絵図写</t>
        </is>
      </c>
      <c r="G244" t="inlineStr"/>
      <c r="H244" t="inlineStr"/>
      <c r="I244" t="inlineStr">
        <is>
          <t>170</t>
        </is>
      </c>
      <c r="J244" t="inlineStr"/>
      <c r="K244" t="inlineStr"/>
      <c r="L244" s="1">
        <f>HYPERLINK("https://www.hi.u-tokyo.ac.jp/collection/degitalgallary/ryukyu/item/20243", "https://www.hi.u-tokyo.ac.jp/collection/degitalgallary/ryukyu/item/20243")</f>
        <v/>
      </c>
    </row>
    <row r="245">
      <c r="A245" t="inlineStr">
        <is>
          <t>20244</t>
        </is>
      </c>
      <c r="B245" t="inlineStr">
        <is>
          <t>久米鳥嶋</t>
        </is>
      </c>
      <c r="C245" t="inlineStr">
        <is>
          <t>島</t>
        </is>
      </c>
      <c r="D245" t="inlineStr">
        <is>
          <t>26.5948295</t>
        </is>
      </c>
      <c r="E245" t="inlineStr">
        <is>
          <t>126.8314022</t>
        </is>
      </c>
      <c r="F245" t="inlineStr">
        <is>
          <t>正保琉球国悪鬼納島絵図写</t>
        </is>
      </c>
      <c r="G245" t="inlineStr"/>
      <c r="H245" t="inlineStr"/>
      <c r="I245" t="inlineStr">
        <is>
          <t>171</t>
        </is>
      </c>
      <c r="J245" t="inlineStr"/>
      <c r="K245" t="inlineStr">
        <is>
          <t>沖縄県島尻郡久米島町鳥島</t>
        </is>
      </c>
      <c r="L245" s="1">
        <f>HYPERLINK("https://www.hi.u-tokyo.ac.jp/collection/degitalgallary/ryukyu/item/20244", "https://www.hi.u-tokyo.ac.jp/collection/degitalgallary/ryukyu/item/20244")</f>
        <v/>
      </c>
    </row>
    <row r="246">
      <c r="A246" t="inlineStr">
        <is>
          <t>20245</t>
        </is>
      </c>
      <c r="B246" t="inlineStr">
        <is>
          <t>はんね浜</t>
        </is>
      </c>
      <c r="C246" t="inlineStr">
        <is>
          <t>その他</t>
        </is>
      </c>
      <c r="D246" t="inlineStr"/>
      <c r="E246" t="inlineStr"/>
      <c r="F246" t="inlineStr">
        <is>
          <t>正保琉球国悪鬼納島絵図写</t>
        </is>
      </c>
      <c r="G246" t="inlineStr"/>
      <c r="H246" t="inlineStr"/>
      <c r="I246" t="inlineStr">
        <is>
          <t>172</t>
        </is>
      </c>
      <c r="J246" t="inlineStr"/>
      <c r="K246" t="inlineStr"/>
      <c r="L246" s="1">
        <f>HYPERLINK("https://www.hi.u-tokyo.ac.jp/collection/degitalgallary/ryukyu/item/20245", "https://www.hi.u-tokyo.ac.jp/collection/degitalgallary/ryukyu/item/20245")</f>
        <v/>
      </c>
    </row>
    <row r="247">
      <c r="A247" t="inlineStr">
        <is>
          <t>20246</t>
        </is>
      </c>
      <c r="B247" t="inlineStr">
        <is>
          <t>はんね浜ヨリ国吉浜迄、四里六町</t>
        </is>
      </c>
      <c r="C247" t="inlineStr">
        <is>
          <t>陸路</t>
        </is>
      </c>
      <c r="D247" t="inlineStr"/>
      <c r="E247" t="inlineStr"/>
      <c r="F247" t="inlineStr">
        <is>
          <t>正保琉球国悪鬼納島絵図写</t>
        </is>
      </c>
      <c r="G247" t="inlineStr"/>
      <c r="H247" t="inlineStr"/>
      <c r="I247" t="inlineStr">
        <is>
          <t>173</t>
        </is>
      </c>
      <c r="J247" t="inlineStr"/>
      <c r="K247" t="inlineStr"/>
      <c r="L247" s="1">
        <f>HYPERLINK("https://www.hi.u-tokyo.ac.jp/collection/degitalgallary/ryukyu/item/20246", "https://www.hi.u-tokyo.ac.jp/collection/degitalgallary/ryukyu/item/20246")</f>
        <v/>
      </c>
    </row>
    <row r="248">
      <c r="A248" t="inlineStr">
        <is>
          <t>20247</t>
        </is>
      </c>
      <c r="B248" t="inlineStr">
        <is>
          <t>西目崎</t>
        </is>
      </c>
      <c r="C248" t="inlineStr">
        <is>
          <t>崎</t>
        </is>
      </c>
      <c r="D248" t="inlineStr">
        <is>
          <t>26.346564</t>
        </is>
      </c>
      <c r="E248" t="inlineStr">
        <is>
          <t>126.741663</t>
        </is>
      </c>
      <c r="F248" t="inlineStr">
        <is>
          <t>正保琉球国悪鬼納島絵図写</t>
        </is>
      </c>
      <c r="G248" t="inlineStr"/>
      <c r="H248" t="inlineStr"/>
      <c r="I248" t="inlineStr">
        <is>
          <t>174</t>
        </is>
      </c>
      <c r="J248" t="inlineStr"/>
      <c r="K248" t="inlineStr">
        <is>
          <t>沖縄県島尻郡久米島町鳥島</t>
        </is>
      </c>
      <c r="L248" s="1">
        <f>HYPERLINK("https://www.hi.u-tokyo.ac.jp/collection/degitalgallary/ryukyu/item/20247", "https://www.hi.u-tokyo.ac.jp/collection/degitalgallary/ryukyu/item/20247")</f>
        <v/>
      </c>
    </row>
    <row r="249">
      <c r="A249" t="inlineStr">
        <is>
          <t>20248</t>
        </is>
      </c>
      <c r="B249" t="inlineStr">
        <is>
          <t>兼城湊</t>
        </is>
      </c>
      <c r="C249" t="inlineStr">
        <is>
          <t>港湾</t>
        </is>
      </c>
      <c r="D249" t="inlineStr">
        <is>
          <t>26.339995</t>
        </is>
      </c>
      <c r="E249" t="inlineStr">
        <is>
          <t>126.7554378</t>
        </is>
      </c>
      <c r="F249" t="inlineStr">
        <is>
          <t>正保琉球国悪鬼納島絵図写</t>
        </is>
      </c>
      <c r="G249" t="inlineStr">
        <is>
          <t>一、兼城湊船かゝり場、入壱町、広さ五十間、深さ八尋
一、大船四五艘程繋ル
一、何風ニ而も船かゝり自由、船かゝり所ヨリ干瀬之間四町</t>
        </is>
      </c>
      <c r="H249" t="inlineStr"/>
      <c r="I249" t="inlineStr">
        <is>
          <t>175</t>
        </is>
      </c>
      <c r="J249" t="inlineStr"/>
      <c r="K249" t="inlineStr">
        <is>
          <t>沖縄県島尻郡久米島町兼城１８６</t>
        </is>
      </c>
      <c r="L249" s="1">
        <f>HYPERLINK("https://www.hi.u-tokyo.ac.jp/collection/degitalgallary/ryukyu/item/20248", "https://www.hi.u-tokyo.ac.jp/collection/degitalgallary/ryukyu/item/20248")</f>
        <v/>
      </c>
    </row>
    <row r="250">
      <c r="A250" t="inlineStr">
        <is>
          <t>20249</t>
        </is>
      </c>
      <c r="B250" t="inlineStr">
        <is>
          <t>遠干潟</t>
        </is>
      </c>
      <c r="C250" t="inlineStr">
        <is>
          <t>干瀬</t>
        </is>
      </c>
      <c r="D250" t="inlineStr"/>
      <c r="E250" t="inlineStr"/>
      <c r="F250" t="inlineStr">
        <is>
          <t>正保琉球国悪鬼納島絵図写</t>
        </is>
      </c>
      <c r="G250" t="inlineStr"/>
      <c r="H250" t="inlineStr"/>
      <c r="I250" t="inlineStr">
        <is>
          <t>176</t>
        </is>
      </c>
      <c r="J250" t="inlineStr"/>
      <c r="K250" t="inlineStr"/>
      <c r="L250" s="1">
        <f>HYPERLINK("https://www.hi.u-tokyo.ac.jp/collection/degitalgallary/ryukyu/item/20249", "https://www.hi.u-tokyo.ac.jp/collection/degitalgallary/ryukyu/item/20249")</f>
        <v/>
      </c>
    </row>
    <row r="251">
      <c r="A251" t="inlineStr">
        <is>
          <t>20250</t>
        </is>
      </c>
      <c r="B251" t="inlineStr">
        <is>
          <t>此船入口左右干瀬之間、広さ一町、深さ卅尋、船かゝり所迄八町</t>
        </is>
      </c>
      <c r="C251" t="inlineStr">
        <is>
          <t>港湾</t>
        </is>
      </c>
      <c r="D251" t="inlineStr"/>
      <c r="E251" t="inlineStr"/>
      <c r="F251" t="inlineStr">
        <is>
          <t>正保琉球国悪鬼納島絵図写</t>
        </is>
      </c>
      <c r="G251" t="inlineStr"/>
      <c r="H251" t="inlineStr"/>
      <c r="I251" t="inlineStr">
        <is>
          <t>177</t>
        </is>
      </c>
      <c r="J251" t="inlineStr"/>
      <c r="K251" t="inlineStr"/>
      <c r="L251" s="1">
        <f>HYPERLINK("https://www.hi.u-tokyo.ac.jp/collection/degitalgallary/ryukyu/item/20250", "https://www.hi.u-tokyo.ac.jp/collection/degitalgallary/ryukyu/item/20250")</f>
        <v/>
      </c>
    </row>
    <row r="252">
      <c r="A252" t="inlineStr">
        <is>
          <t>20251</t>
        </is>
      </c>
      <c r="B252" t="inlineStr">
        <is>
          <t>国吉浜</t>
        </is>
      </c>
      <c r="C252" t="inlineStr">
        <is>
          <t>その他</t>
        </is>
      </c>
      <c r="D252" t="inlineStr"/>
      <c r="E252" t="inlineStr"/>
      <c r="F252" t="inlineStr">
        <is>
          <t>正保琉球国悪鬼納島絵図写</t>
        </is>
      </c>
      <c r="G252" t="inlineStr"/>
      <c r="H252" t="inlineStr"/>
      <c r="I252" t="inlineStr">
        <is>
          <t>178</t>
        </is>
      </c>
      <c r="J252" t="inlineStr"/>
      <c r="K252" t="inlineStr"/>
      <c r="L252" s="1">
        <f>HYPERLINK("https://www.hi.u-tokyo.ac.jp/collection/degitalgallary/ryukyu/item/20251", "https://www.hi.u-tokyo.ac.jp/collection/degitalgallary/ryukyu/item/20251")</f>
        <v/>
      </c>
    </row>
    <row r="253">
      <c r="A253" t="inlineStr">
        <is>
          <t>20252</t>
        </is>
      </c>
      <c r="B253" t="inlineStr">
        <is>
          <t>おとのはら</t>
        </is>
      </c>
      <c r="C253" t="inlineStr">
        <is>
          <t>その他</t>
        </is>
      </c>
      <c r="D253" t="inlineStr"/>
      <c r="E253" t="inlineStr"/>
      <c r="F253" t="inlineStr">
        <is>
          <t>正保琉球国悪鬼納島絵図写</t>
        </is>
      </c>
      <c r="G253" t="inlineStr"/>
      <c r="H253" t="inlineStr"/>
      <c r="I253" t="inlineStr">
        <is>
          <t>179</t>
        </is>
      </c>
      <c r="J253" t="inlineStr"/>
      <c r="K253" t="inlineStr"/>
      <c r="L253" s="1">
        <f>HYPERLINK("https://www.hi.u-tokyo.ac.jp/collection/degitalgallary/ryukyu/item/20252", "https://www.hi.u-tokyo.ac.jp/collection/degitalgallary/ryukyu/item/20252")</f>
        <v/>
      </c>
    </row>
    <row r="254">
      <c r="A254" t="inlineStr">
        <is>
          <t>20253</t>
        </is>
      </c>
      <c r="B254" t="inlineStr">
        <is>
          <t>此間十町</t>
        </is>
      </c>
      <c r="C254" t="inlineStr">
        <is>
          <t>その他</t>
        </is>
      </c>
      <c r="D254" t="inlineStr"/>
      <c r="E254" t="inlineStr"/>
      <c r="F254" t="inlineStr">
        <is>
          <t>正保琉球国悪鬼納島絵図写</t>
        </is>
      </c>
      <c r="G254" t="inlineStr"/>
      <c r="H254" t="inlineStr"/>
      <c r="I254" t="inlineStr">
        <is>
          <t>180</t>
        </is>
      </c>
      <c r="J254" t="inlineStr"/>
      <c r="K254" t="inlineStr"/>
      <c r="L254" s="1">
        <f>HYPERLINK("https://www.hi.u-tokyo.ac.jp/collection/degitalgallary/ryukyu/item/20253", "https://www.hi.u-tokyo.ac.jp/collection/degitalgallary/ryukyu/item/20253")</f>
        <v/>
      </c>
    </row>
    <row r="255">
      <c r="A255" t="inlineStr">
        <is>
          <t>20254</t>
        </is>
      </c>
      <c r="B255" t="inlineStr">
        <is>
          <t>嶋尻崎</t>
        </is>
      </c>
      <c r="C255" t="inlineStr">
        <is>
          <t>崎</t>
        </is>
      </c>
      <c r="D255" t="inlineStr">
        <is>
          <t>26.293410</t>
        </is>
      </c>
      <c r="E255" t="inlineStr">
        <is>
          <t>126.810860</t>
        </is>
      </c>
      <c r="F255" t="inlineStr">
        <is>
          <t>正保琉球国悪鬼納島絵図写</t>
        </is>
      </c>
      <c r="G255" t="inlineStr"/>
      <c r="H255" t="inlineStr"/>
      <c r="I255" t="inlineStr">
        <is>
          <t>181</t>
        </is>
      </c>
      <c r="J255" t="inlineStr"/>
      <c r="K255" t="inlineStr">
        <is>
          <t>沖縄県島尻郡久米島町島尻</t>
        </is>
      </c>
      <c r="L255" s="1">
        <f>HYPERLINK("https://www.hi.u-tokyo.ac.jp/collection/degitalgallary/ryukyu/item/20254", "https://www.hi.u-tokyo.ac.jp/collection/degitalgallary/ryukyu/item/20254")</f>
        <v/>
      </c>
    </row>
    <row r="256">
      <c r="A256" t="inlineStr">
        <is>
          <t>20255</t>
        </is>
      </c>
      <c r="B256" t="inlineStr">
        <is>
          <t>てそな嶋</t>
        </is>
      </c>
      <c r="C256" t="inlineStr">
        <is>
          <t>島</t>
        </is>
      </c>
      <c r="D256" t="inlineStr">
        <is>
          <t>26.384761</t>
        </is>
      </c>
      <c r="E256" t="inlineStr">
        <is>
          <t>127.1024015</t>
        </is>
      </c>
      <c r="F256" t="inlineStr">
        <is>
          <t>正保琉球国悪鬼納島絵図写</t>
        </is>
      </c>
      <c r="G256" t="inlineStr">
        <is>
          <t>無人居</t>
        </is>
      </c>
      <c r="H256" t="inlineStr"/>
      <c r="I256" t="inlineStr">
        <is>
          <t>182</t>
        </is>
      </c>
      <c r="J256" t="inlineStr"/>
      <c r="K256" t="inlineStr">
        <is>
          <t>沖縄県島尻郡渡名喜村</t>
        </is>
      </c>
      <c r="L256" s="1">
        <f>HYPERLINK("https://www.hi.u-tokyo.ac.jp/collection/degitalgallary/ryukyu/item/20255", "https://www.hi.u-tokyo.ac.jp/collection/degitalgallary/ryukyu/item/20255")</f>
        <v/>
      </c>
    </row>
    <row r="257">
      <c r="A257" t="inlineStr">
        <is>
          <t>20256</t>
        </is>
      </c>
      <c r="B257" t="inlineStr">
        <is>
          <t>此間海上壱里</t>
        </is>
      </c>
      <c r="C257" t="inlineStr">
        <is>
          <t>その他</t>
        </is>
      </c>
      <c r="D257" t="inlineStr"/>
      <c r="E257" t="inlineStr"/>
      <c r="F257" t="inlineStr">
        <is>
          <t>正保琉球国悪鬼納島絵図写</t>
        </is>
      </c>
      <c r="G257" t="inlineStr"/>
      <c r="H257" t="inlineStr"/>
      <c r="I257" t="inlineStr">
        <is>
          <t>183</t>
        </is>
      </c>
      <c r="J257" t="inlineStr"/>
      <c r="K257" t="inlineStr"/>
      <c r="L257" s="1">
        <f>HYPERLINK("https://www.hi.u-tokyo.ac.jp/collection/degitalgallary/ryukyu/item/20256", "https://www.hi.u-tokyo.ac.jp/collection/degitalgallary/ryukyu/item/20256")</f>
        <v/>
      </c>
    </row>
    <row r="258">
      <c r="A258" t="inlineStr">
        <is>
          <t>20257</t>
        </is>
      </c>
      <c r="B258" t="inlineStr">
        <is>
          <t>船かゝり不成</t>
        </is>
      </c>
      <c r="C258" t="inlineStr">
        <is>
          <t>港湾</t>
        </is>
      </c>
      <c r="D258" t="inlineStr"/>
      <c r="E258" t="inlineStr"/>
      <c r="F258" t="inlineStr">
        <is>
          <t>正保琉球国悪鬼納島絵図写</t>
        </is>
      </c>
      <c r="G258" t="inlineStr"/>
      <c r="H258" t="inlineStr"/>
      <c r="I258" t="inlineStr">
        <is>
          <t>184</t>
        </is>
      </c>
      <c r="J258" t="inlineStr"/>
      <c r="K258" t="inlineStr"/>
      <c r="L258" s="1">
        <f>HYPERLINK("https://www.hi.u-tokyo.ac.jp/collection/degitalgallary/ryukyu/item/20257", "https://www.hi.u-tokyo.ac.jp/collection/degitalgallary/ryukyu/item/20257")</f>
        <v/>
      </c>
    </row>
    <row r="259">
      <c r="A259" t="inlineStr">
        <is>
          <t>20258</t>
        </is>
      </c>
      <c r="B259" t="inlineStr">
        <is>
          <t>戸無嶋ヨリ粟嶋迄、海上八里子丑之間ニ当ル</t>
        </is>
      </c>
      <c r="C259" t="inlineStr">
        <is>
          <t>航路</t>
        </is>
      </c>
      <c r="D259" t="inlineStr"/>
      <c r="E259" t="inlineStr"/>
      <c r="F259" t="inlineStr">
        <is>
          <t>正保琉球国悪鬼納島絵図写</t>
        </is>
      </c>
      <c r="G259" t="inlineStr"/>
      <c r="H259" t="inlineStr"/>
      <c r="I259" t="inlineStr">
        <is>
          <t>185</t>
        </is>
      </c>
      <c r="J259" t="inlineStr"/>
      <c r="K259" t="inlineStr"/>
      <c r="L259" s="1">
        <f>HYPERLINK("https://www.hi.u-tokyo.ac.jp/collection/degitalgallary/ryukyu/item/20258", "https://www.hi.u-tokyo.ac.jp/collection/degitalgallary/ryukyu/item/20258")</f>
        <v/>
      </c>
    </row>
    <row r="260">
      <c r="A260" t="inlineStr">
        <is>
          <t>20259</t>
        </is>
      </c>
      <c r="B260" t="inlineStr">
        <is>
          <t>船かゝり不成</t>
        </is>
      </c>
      <c r="C260" t="inlineStr">
        <is>
          <t>港湾</t>
        </is>
      </c>
      <c r="D260" t="inlineStr"/>
      <c r="E260" t="inlineStr"/>
      <c r="F260" t="inlineStr">
        <is>
          <t>正保琉球国悪鬼納島絵図写</t>
        </is>
      </c>
      <c r="G260" t="inlineStr"/>
      <c r="H260" t="inlineStr"/>
      <c r="I260" t="inlineStr">
        <is>
          <t>186</t>
        </is>
      </c>
      <c r="J260" t="inlineStr"/>
      <c r="K260" t="inlineStr"/>
      <c r="L260" s="1">
        <f>HYPERLINK("https://www.hi.u-tokyo.ac.jp/collection/degitalgallary/ryukyu/item/20259", "https://www.hi.u-tokyo.ac.jp/collection/degitalgallary/ryukyu/item/20259")</f>
        <v/>
      </c>
    </row>
    <row r="261">
      <c r="A261" t="inlineStr">
        <is>
          <t>20260</t>
        </is>
      </c>
      <c r="B261" t="inlineStr">
        <is>
          <t>粟嶋ヨリ伊惠嶋迄、海上廿里寅卯之間ニ当ル</t>
        </is>
      </c>
      <c r="C261" t="inlineStr">
        <is>
          <t>航路</t>
        </is>
      </c>
      <c r="D261" t="inlineStr"/>
      <c r="E261" t="inlineStr"/>
      <c r="F261" t="inlineStr">
        <is>
          <t>正保琉球国悪鬼納島絵図写</t>
        </is>
      </c>
      <c r="G261" t="inlineStr"/>
      <c r="H261" t="inlineStr"/>
      <c r="I261" t="inlineStr">
        <is>
          <t>187</t>
        </is>
      </c>
      <c r="J261" t="inlineStr"/>
      <c r="K261" t="inlineStr"/>
      <c r="L261" s="1">
        <f>HYPERLINK("https://www.hi.u-tokyo.ac.jp/collection/degitalgallary/ryukyu/item/20260", "https://www.hi.u-tokyo.ac.jp/collection/degitalgallary/ryukyu/item/20260")</f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2021-12-02T05:58:56Z</dcterms:created>
  <dcterms:modified xmlns:dcterms="http://purl.org/dc/terms/" xmlns:xsi="http://www.w3.org/2001/XMLSchema-instance" xsi:type="dcterms:W3CDTF">2021-12-02T05:58:56Z</dcterms:modified>
</cp:coreProperties>
</file>