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Sheet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2">
    <font>
      <name val="Calibri"/>
      <family val="2"/>
      <color theme="1"/>
      <sz val="11"/>
      <scheme val="minor"/>
    </font>
    <font>
      <color rgb="000563C1"/>
      <u val="single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pivotButton="0" quotePrefix="0" xfId="0"/>
    <xf numFmtId="0" fontId="1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L393"/>
  <sheetViews>
    <sheetView workbookViewId="0">
      <selection activeCell="A1" sqref="A1"/>
    </sheetView>
  </sheetViews>
  <sheetFormatPr baseColWidth="8" defaultRowHeight="15"/>
  <sheetData>
    <row r="1">
      <c r="A1" t="inlineStr">
        <is>
          <t>entry_id</t>
        </is>
      </c>
      <c r="B1" t="inlineStr">
        <is>
          <t>body</t>
        </is>
      </c>
      <c r="C1" t="inlineStr">
        <is>
          <t>ne_class</t>
        </is>
      </c>
      <c r="D1" t="inlineStr">
        <is>
          <t>latitude</t>
        </is>
      </c>
      <c r="E1" t="inlineStr">
        <is>
          <t>longitude</t>
        </is>
      </c>
      <c r="F1" t="inlineStr">
        <is>
          <t>description</t>
        </is>
      </c>
      <c r="G1" t="inlineStr">
        <is>
          <t>説明文</t>
        </is>
      </c>
      <c r="H1" t="inlineStr">
        <is>
          <t>備考</t>
        </is>
      </c>
      <c r="I1" t="inlineStr">
        <is>
          <t>沖縄県教育委員会編『琉球国絵図史料集』第１集の番号</t>
        </is>
      </c>
      <c r="J1" t="inlineStr">
        <is>
          <t>ジャパンナレッジID</t>
        </is>
      </c>
      <c r="K1" t="inlineStr">
        <is>
          <t>現在の地名</t>
        </is>
      </c>
      <c r="L1" t="inlineStr">
        <is>
          <t>source</t>
        </is>
      </c>
    </row>
    <row r="2">
      <c r="A2" t="inlineStr">
        <is>
          <t>10001</t>
        </is>
      </c>
      <c r="B2" t="inlineStr">
        <is>
          <t xml:space="preserve">
琉球国之内
高六千九百三拾弐石四斗　鬼界嶋
高壱万四百五拾五石五斗　大嶋
高壱万九石七斗　徳之嶋
高四千百五拾八石五斗　永良部嶋
高千弐百七拾弐石六斗　与論嶋
都合高三万弐千八百弐拾八石七斗</t>
        </is>
      </c>
      <c r="C2" t="inlineStr">
        <is>
          <t>畾紙</t>
        </is>
      </c>
      <c r="D2" t="inlineStr"/>
      <c r="E2" t="inlineStr"/>
      <c r="F2" t="inlineStr">
        <is>
          <t>正保琉球国絵図写</t>
        </is>
      </c>
      <c r="G2" t="inlineStr"/>
      <c r="H2" t="inlineStr"/>
      <c r="I2" t="inlineStr"/>
      <c r="J2" t="inlineStr"/>
      <c r="K2" t="inlineStr"/>
      <c r="L2" s="1">
        <f>HYPERLINK("https://www.hi.u-tokyo.ac.jp/collection/degitalgallary/ryukyu/item/10001", "https://www.hi.u-tokyo.ac.jp/collection/degitalgallary/ryukyu/item/10001")</f>
        <v/>
      </c>
    </row>
    <row r="3">
      <c r="A3" t="inlineStr">
        <is>
          <t>10002</t>
        </is>
      </c>
      <c r="B3" t="inlineStr">
        <is>
          <t>東</t>
        </is>
      </c>
      <c r="C3" t="inlineStr">
        <is>
          <t>方位</t>
        </is>
      </c>
      <c r="D3" t="inlineStr"/>
      <c r="E3" t="inlineStr"/>
      <c r="F3" t="inlineStr">
        <is>
          <t>正保琉球国絵図写</t>
        </is>
      </c>
      <c r="G3" t="inlineStr"/>
      <c r="H3" t="inlineStr"/>
      <c r="I3" t="inlineStr"/>
      <c r="J3" t="inlineStr"/>
      <c r="K3" t="inlineStr"/>
      <c r="L3" s="1">
        <f>HYPERLINK("https://www.hi.u-tokyo.ac.jp/collection/degitalgallary/ryukyu/item/10002", "https://www.hi.u-tokyo.ac.jp/collection/degitalgallary/ryukyu/item/10002")</f>
        <v/>
      </c>
    </row>
    <row r="4">
      <c r="A4" t="inlineStr">
        <is>
          <t>10003</t>
        </is>
      </c>
      <c r="B4" t="inlineStr">
        <is>
          <t>南</t>
        </is>
      </c>
      <c r="C4" t="inlineStr">
        <is>
          <t>方位</t>
        </is>
      </c>
      <c r="D4" t="inlineStr"/>
      <c r="E4" t="inlineStr"/>
      <c r="F4" t="inlineStr">
        <is>
          <t>正保琉球国絵図写</t>
        </is>
      </c>
      <c r="G4" t="inlineStr"/>
      <c r="H4" t="inlineStr"/>
      <c r="I4" t="inlineStr"/>
      <c r="J4" t="inlineStr"/>
      <c r="K4" t="inlineStr"/>
      <c r="L4" s="1">
        <f>HYPERLINK("https://www.hi.u-tokyo.ac.jp/collection/degitalgallary/ryukyu/item/10003", "https://www.hi.u-tokyo.ac.jp/collection/degitalgallary/ryukyu/item/10003")</f>
        <v/>
      </c>
    </row>
    <row r="5">
      <c r="A5" t="inlineStr">
        <is>
          <t>10004</t>
        </is>
      </c>
      <c r="B5" t="inlineStr">
        <is>
          <t>北</t>
        </is>
      </c>
      <c r="C5" t="inlineStr">
        <is>
          <t>方位</t>
        </is>
      </c>
      <c r="D5" t="inlineStr"/>
      <c r="E5" t="inlineStr"/>
      <c r="F5" t="inlineStr">
        <is>
          <t>正保琉球国絵図写</t>
        </is>
      </c>
      <c r="G5" t="inlineStr"/>
      <c r="H5" t="inlineStr"/>
      <c r="I5" t="inlineStr"/>
      <c r="J5" t="inlineStr"/>
      <c r="K5" t="inlineStr"/>
      <c r="L5" s="1">
        <f>HYPERLINK("https://www.hi.u-tokyo.ac.jp/collection/degitalgallary/ryukyu/item/10004", "https://www.hi.u-tokyo.ac.jp/collection/degitalgallary/ryukyu/item/10004")</f>
        <v/>
      </c>
    </row>
    <row r="6">
      <c r="A6" t="inlineStr">
        <is>
          <t>10005</t>
        </is>
      </c>
      <c r="B6" t="inlineStr">
        <is>
          <t>西</t>
        </is>
      </c>
      <c r="C6" t="inlineStr">
        <is>
          <t>方位</t>
        </is>
      </c>
      <c r="D6" t="inlineStr"/>
      <c r="E6" t="inlineStr"/>
      <c r="F6" t="inlineStr">
        <is>
          <t>正保琉球国絵図写</t>
        </is>
      </c>
      <c r="G6" t="inlineStr"/>
      <c r="H6" t="inlineStr"/>
      <c r="I6" t="inlineStr"/>
      <c r="J6" t="inlineStr"/>
      <c r="K6" t="inlineStr"/>
      <c r="L6" s="1">
        <f>HYPERLINK("https://www.hi.u-tokyo.ac.jp/collection/degitalgallary/ryukyu/item/10005", "https://www.hi.u-tokyo.ac.jp/collection/degitalgallary/ryukyu/item/10005")</f>
        <v/>
      </c>
    </row>
    <row r="7">
      <c r="A7" t="inlineStr">
        <is>
          <t>10006</t>
        </is>
      </c>
      <c r="B7" t="inlineStr">
        <is>
          <t>志戸桶間切</t>
        </is>
      </c>
      <c r="C7" t="inlineStr">
        <is>
          <t>間切</t>
        </is>
      </c>
      <c r="D7" t="inlineStr"/>
      <c r="E7" t="inlineStr"/>
      <c r="F7" t="inlineStr">
        <is>
          <t>正保琉球国絵図写</t>
        </is>
      </c>
      <c r="G7" t="inlineStr">
        <is>
          <t>七百十弐石余</t>
        </is>
      </c>
      <c r="H7" t="inlineStr"/>
      <c r="I7" t="inlineStr">
        <is>
          <t>〔1〕</t>
        </is>
      </c>
      <c r="J7" t="inlineStr">
        <is>
          <t>30020470000237100</t>
        </is>
      </c>
      <c r="K7" t="inlineStr"/>
      <c r="L7" s="1">
        <f>HYPERLINK("https://www.hi.u-tokyo.ac.jp/collection/degitalgallary/ryukyu/item/10006", "https://www.hi.u-tokyo.ac.jp/collection/degitalgallary/ryukyu/item/10006")</f>
        <v/>
      </c>
    </row>
    <row r="8">
      <c r="A8" t="inlineStr">
        <is>
          <t>10007</t>
        </is>
      </c>
      <c r="B8" t="inlineStr">
        <is>
          <t>東間切</t>
        </is>
      </c>
      <c r="C8" t="inlineStr">
        <is>
          <t>間切</t>
        </is>
      </c>
      <c r="D8" t="inlineStr"/>
      <c r="E8" t="inlineStr"/>
      <c r="F8" t="inlineStr">
        <is>
          <t>正保琉球国絵図写</t>
        </is>
      </c>
      <c r="G8" t="inlineStr">
        <is>
          <t>千九百八十六石余</t>
        </is>
      </c>
      <c r="H8" t="inlineStr"/>
      <c r="I8" t="inlineStr">
        <is>
          <t>〔2〕</t>
        </is>
      </c>
      <c r="J8" t="inlineStr">
        <is>
          <t>30020470000237000</t>
        </is>
      </c>
      <c r="K8" t="inlineStr"/>
      <c r="L8" s="1">
        <f>HYPERLINK("https://www.hi.u-tokyo.ac.jp/collection/degitalgallary/ryukyu/item/10007", "https://www.hi.u-tokyo.ac.jp/collection/degitalgallary/ryukyu/item/10007")</f>
        <v/>
      </c>
    </row>
    <row r="9">
      <c r="A9" t="inlineStr">
        <is>
          <t>10008</t>
        </is>
      </c>
      <c r="B9" t="inlineStr">
        <is>
          <t>西目間切之内いしやく村</t>
        </is>
      </c>
      <c r="C9" t="inlineStr">
        <is>
          <t>村</t>
        </is>
      </c>
      <c r="D9" t="inlineStr">
        <is>
          <t>28.3439714</t>
        </is>
      </c>
      <c r="E9" t="inlineStr">
        <is>
          <t>129.9838012</t>
        </is>
      </c>
      <c r="F9" t="inlineStr">
        <is>
          <t>正保琉球国絵図写</t>
        </is>
      </c>
      <c r="G9" t="inlineStr">
        <is>
          <t>いしやく村</t>
        </is>
      </c>
      <c r="H9" t="inlineStr"/>
      <c r="I9" t="inlineStr">
        <is>
          <t>〔3〕</t>
        </is>
      </c>
      <c r="J9" t="inlineStr"/>
      <c r="K9" t="inlineStr">
        <is>
          <t>鹿児島県大島郡喜界町伊砂</t>
        </is>
      </c>
      <c r="L9" s="1">
        <f>HYPERLINK("https://www.hi.u-tokyo.ac.jp/collection/degitalgallary/ryukyu/item/10008", "https://www.hi.u-tokyo.ac.jp/collection/degitalgallary/ryukyu/item/10008")</f>
        <v/>
      </c>
    </row>
    <row r="10">
      <c r="A10" t="inlineStr">
        <is>
          <t>10009</t>
        </is>
      </c>
      <c r="B10" t="inlineStr">
        <is>
          <t>西目間切</t>
        </is>
      </c>
      <c r="C10" t="inlineStr">
        <is>
          <t>間切</t>
        </is>
      </c>
      <c r="D10" t="inlineStr"/>
      <c r="E10" t="inlineStr"/>
      <c r="F10" t="inlineStr">
        <is>
          <t>正保琉球国絵図写</t>
        </is>
      </c>
      <c r="G10" t="inlineStr">
        <is>
          <t>千五十石余</t>
        </is>
      </c>
      <c r="H10" t="inlineStr"/>
      <c r="I10" t="inlineStr">
        <is>
          <t>〔4〕</t>
        </is>
      </c>
      <c r="J10" t="inlineStr">
        <is>
          <t>30020470000236800</t>
        </is>
      </c>
      <c r="K10" t="inlineStr"/>
      <c r="L10" s="1">
        <f>HYPERLINK("https://www.hi.u-tokyo.ac.jp/collection/degitalgallary/ryukyu/item/10009", "https://www.hi.u-tokyo.ac.jp/collection/degitalgallary/ryukyu/item/10009")</f>
        <v/>
      </c>
    </row>
    <row r="11">
      <c r="A11" t="inlineStr">
        <is>
          <t>10010</t>
        </is>
      </c>
      <c r="B11" t="inlineStr">
        <is>
          <t>わん間切</t>
        </is>
      </c>
      <c r="C11" t="inlineStr">
        <is>
          <t>間切</t>
        </is>
      </c>
      <c r="D11" t="inlineStr"/>
      <c r="E11" t="inlineStr"/>
      <c r="F11" t="inlineStr">
        <is>
          <t>正保琉球国絵図写</t>
        </is>
      </c>
      <c r="G11" t="inlineStr">
        <is>
          <t>千八百六拾弐石余</t>
        </is>
      </c>
      <c r="H11" t="inlineStr"/>
      <c r="I11" t="inlineStr">
        <is>
          <t>〔5〕</t>
        </is>
      </c>
      <c r="J11" t="inlineStr"/>
      <c r="K11" t="inlineStr"/>
      <c r="L11" s="1">
        <f>HYPERLINK("https://www.hi.u-tokyo.ac.jp/collection/degitalgallary/ryukyu/item/10010", "https://www.hi.u-tokyo.ac.jp/collection/degitalgallary/ryukyu/item/10010")</f>
        <v/>
      </c>
    </row>
    <row r="12">
      <c r="A12" t="inlineStr">
        <is>
          <t>10011</t>
        </is>
      </c>
      <c r="B12" t="inlineStr">
        <is>
          <t>荒木間切</t>
        </is>
      </c>
      <c r="C12" t="inlineStr">
        <is>
          <t>間切</t>
        </is>
      </c>
      <c r="D12" t="inlineStr"/>
      <c r="E12" t="inlineStr"/>
      <c r="F12" t="inlineStr">
        <is>
          <t>正保琉球国絵図写</t>
        </is>
      </c>
      <c r="G12" t="inlineStr">
        <is>
          <t>千三百廿弐石余</t>
        </is>
      </c>
      <c r="H12" t="inlineStr"/>
      <c r="I12" t="inlineStr">
        <is>
          <t>〔6〕</t>
        </is>
      </c>
      <c r="J12" t="inlineStr">
        <is>
          <t>30020470000236700</t>
        </is>
      </c>
      <c r="K12" t="inlineStr"/>
      <c r="L12" s="1">
        <f>HYPERLINK("https://www.hi.u-tokyo.ac.jp/collection/degitalgallary/ryukyu/item/10011", "https://www.hi.u-tokyo.ac.jp/collection/degitalgallary/ryukyu/item/10011")</f>
        <v/>
      </c>
    </row>
    <row r="13">
      <c r="A13" t="inlineStr">
        <is>
          <t>10012</t>
        </is>
      </c>
      <c r="B13" t="inlineStr">
        <is>
          <t>荒木間切之内しつる村</t>
        </is>
      </c>
      <c r="C13" t="inlineStr">
        <is>
          <t>村</t>
        </is>
      </c>
      <c r="D13" t="inlineStr">
        <is>
          <t>28.2832959</t>
        </is>
      </c>
      <c r="E13" t="inlineStr">
        <is>
          <t>129.9478595</t>
        </is>
      </c>
      <c r="F13" t="inlineStr">
        <is>
          <t>正保琉球国絵図写</t>
        </is>
      </c>
      <c r="G13" t="inlineStr">
        <is>
          <t>しつる村</t>
        </is>
      </c>
      <c r="H13" t="inlineStr"/>
      <c r="I13" t="inlineStr">
        <is>
          <t>〔7〕</t>
        </is>
      </c>
      <c r="J13" t="inlineStr"/>
      <c r="K13" t="inlineStr">
        <is>
          <t>鹿児島県大島郡喜界町上嘉鉄</t>
        </is>
      </c>
      <c r="L13" s="1">
        <f>HYPERLINK("https://www.hi.u-tokyo.ac.jp/collection/degitalgallary/ryukyu/item/10012", "https://www.hi.u-tokyo.ac.jp/collection/degitalgallary/ryukyu/item/10012")</f>
        <v/>
      </c>
    </row>
    <row r="14">
      <c r="A14" t="inlineStr">
        <is>
          <t>10013</t>
        </is>
      </c>
      <c r="B14" t="inlineStr">
        <is>
          <t>笠利間切之内かとく村</t>
        </is>
      </c>
      <c r="C14" t="inlineStr">
        <is>
          <t>村</t>
        </is>
      </c>
      <c r="D14" t="inlineStr">
        <is>
          <t>28.4450066</t>
        </is>
      </c>
      <c r="E14" t="inlineStr">
        <is>
          <t>129.5743519</t>
        </is>
      </c>
      <c r="F14" t="inlineStr">
        <is>
          <t>正保琉球国絵図写</t>
        </is>
      </c>
      <c r="G14" t="inlineStr">
        <is>
          <t>かとく村</t>
        </is>
      </c>
      <c r="H14" t="inlineStr"/>
      <c r="I14" t="inlineStr">
        <is>
          <t>〔8〕</t>
        </is>
      </c>
      <c r="J14" t="inlineStr"/>
      <c r="K14" t="inlineStr">
        <is>
          <t>鹿児島県大島郡龍郷町嘉渡</t>
        </is>
      </c>
      <c r="L14" s="1">
        <f>HYPERLINK("https://www.hi.u-tokyo.ac.jp/collection/degitalgallary/ryukyu/item/10013", "https://www.hi.u-tokyo.ac.jp/collection/degitalgallary/ryukyu/item/10013")</f>
        <v/>
      </c>
    </row>
    <row r="15">
      <c r="A15" t="inlineStr">
        <is>
          <t>10014</t>
        </is>
      </c>
      <c r="B15" t="inlineStr">
        <is>
          <t>笠利間切之内喜瀬村</t>
        </is>
      </c>
      <c r="C15" t="inlineStr">
        <is>
          <t>村</t>
        </is>
      </c>
      <c r="D15" t="inlineStr">
        <is>
          <t>28.4228207</t>
        </is>
      </c>
      <c r="E15" t="inlineStr">
        <is>
          <t>129.6595576</t>
        </is>
      </c>
      <c r="F15" t="inlineStr">
        <is>
          <t>正保琉球国絵図写</t>
        </is>
      </c>
      <c r="G15" t="inlineStr">
        <is>
          <t>喜瀬村</t>
        </is>
      </c>
      <c r="H15" t="inlineStr"/>
      <c r="I15" t="inlineStr">
        <is>
          <t>〔9〕</t>
        </is>
      </c>
      <c r="J15" t="inlineStr"/>
      <c r="K15" t="inlineStr">
        <is>
          <t>鹿児島県奄美市笠利町大字喜瀬</t>
        </is>
      </c>
      <c r="L15" s="1">
        <f>HYPERLINK("https://www.hi.u-tokyo.ac.jp/collection/degitalgallary/ryukyu/item/10014", "https://www.hi.u-tokyo.ac.jp/collection/degitalgallary/ryukyu/item/10014")</f>
        <v/>
      </c>
    </row>
    <row r="16">
      <c r="A16" t="inlineStr">
        <is>
          <t>10015</t>
        </is>
      </c>
      <c r="B16" t="inlineStr">
        <is>
          <t>笠利間切之内あかきな村</t>
        </is>
      </c>
      <c r="C16" t="inlineStr">
        <is>
          <t>村</t>
        </is>
      </c>
      <c r="D16" t="inlineStr"/>
      <c r="E16" t="inlineStr"/>
      <c r="F16" t="inlineStr">
        <is>
          <t>正保琉球国絵図写</t>
        </is>
      </c>
      <c r="G16" t="inlineStr">
        <is>
          <t>あかきな村</t>
        </is>
      </c>
      <c r="H16" t="inlineStr"/>
      <c r="I16" t="inlineStr">
        <is>
          <t>〔10〕</t>
        </is>
      </c>
      <c r="J16" t="inlineStr"/>
      <c r="K16" t="inlineStr"/>
      <c r="L16" s="1">
        <f>HYPERLINK("https://www.hi.u-tokyo.ac.jp/collection/degitalgallary/ryukyu/item/10015", "https://www.hi.u-tokyo.ac.jp/collection/degitalgallary/ryukyu/item/10015")</f>
        <v/>
      </c>
    </row>
    <row r="17">
      <c r="A17" t="inlineStr">
        <is>
          <t>10016</t>
        </is>
      </c>
      <c r="B17" t="inlineStr">
        <is>
          <t>笠利間切之内やん村</t>
        </is>
      </c>
      <c r="C17" t="inlineStr">
        <is>
          <t>村</t>
        </is>
      </c>
      <c r="D17" t="inlineStr">
        <is>
          <t>28.4980331</t>
        </is>
      </c>
      <c r="E17" t="inlineStr">
        <is>
          <t>129.654397</t>
        </is>
      </c>
      <c r="F17" t="inlineStr">
        <is>
          <t>正保琉球国絵図写</t>
        </is>
      </c>
      <c r="G17" t="inlineStr">
        <is>
          <t>やん村</t>
        </is>
      </c>
      <c r="H17" t="inlineStr"/>
      <c r="I17" t="inlineStr">
        <is>
          <t>〔11〕</t>
        </is>
      </c>
      <c r="J17" t="inlineStr"/>
      <c r="K17" t="inlineStr">
        <is>
          <t>鹿児島県奄美市笠利町大字屋仁</t>
        </is>
      </c>
      <c r="L17" s="1">
        <f>HYPERLINK("https://www.hi.u-tokyo.ac.jp/collection/degitalgallary/ryukyu/item/10016", "https://www.hi.u-tokyo.ac.jp/collection/degitalgallary/ryukyu/item/10016")</f>
        <v/>
      </c>
    </row>
    <row r="18">
      <c r="A18" t="inlineStr">
        <is>
          <t>10017</t>
        </is>
      </c>
      <c r="B18" t="inlineStr">
        <is>
          <t>笠利間切</t>
        </is>
      </c>
      <c r="C18" t="inlineStr">
        <is>
          <t>間切</t>
        </is>
      </c>
      <c r="D18" t="inlineStr"/>
      <c r="E18" t="inlineStr"/>
      <c r="F18" t="inlineStr">
        <is>
          <t>正保琉球国絵図写</t>
        </is>
      </c>
      <c r="G18" t="inlineStr">
        <is>
          <t>千弐石余</t>
        </is>
      </c>
      <c r="H18" t="inlineStr"/>
      <c r="I18" t="inlineStr">
        <is>
          <t>〔12〕</t>
        </is>
      </c>
      <c r="J18" t="inlineStr">
        <is>
          <t>30020470000240800</t>
        </is>
      </c>
      <c r="K18" t="inlineStr"/>
      <c r="L18" s="1">
        <f>HYPERLINK("https://www.hi.u-tokyo.ac.jp/collection/degitalgallary/ryukyu/item/10017", "https://www.hi.u-tokyo.ac.jp/collection/degitalgallary/ryukyu/item/10017")</f>
        <v/>
      </c>
    </row>
    <row r="19">
      <c r="A19" t="inlineStr">
        <is>
          <t>10018</t>
        </is>
      </c>
      <c r="B19" t="inlineStr">
        <is>
          <t>笠利間切之内うすく村</t>
        </is>
      </c>
      <c r="C19" t="inlineStr">
        <is>
          <t>村</t>
        </is>
      </c>
      <c r="D19" t="inlineStr">
        <is>
          <t>28.4556298</t>
        </is>
      </c>
      <c r="E19" t="inlineStr">
        <is>
          <t>129.7059838</t>
        </is>
      </c>
      <c r="F19" t="inlineStr">
        <is>
          <t>正保琉球国絵図写</t>
        </is>
      </c>
      <c r="G19" t="inlineStr">
        <is>
          <t>うすく村</t>
        </is>
      </c>
      <c r="H19" t="inlineStr"/>
      <c r="I19" t="inlineStr">
        <is>
          <t>〔13〕</t>
        </is>
      </c>
      <c r="J19" t="inlineStr"/>
      <c r="K19" t="inlineStr">
        <is>
          <t>鹿児島県奄美市笠利町大字宇宿</t>
        </is>
      </c>
      <c r="L19" s="1">
        <f>HYPERLINK("https://www.hi.u-tokyo.ac.jp/collection/degitalgallary/ryukyu/item/10018", "https://www.hi.u-tokyo.ac.jp/collection/degitalgallary/ryukyu/item/10018")</f>
        <v/>
      </c>
    </row>
    <row r="20">
      <c r="A20" t="inlineStr">
        <is>
          <t>10019</t>
        </is>
      </c>
      <c r="B20" t="inlineStr">
        <is>
          <t>笠利間切之内せつた村</t>
        </is>
      </c>
      <c r="C20" t="inlineStr">
        <is>
          <t>村</t>
        </is>
      </c>
      <c r="D20" t="inlineStr">
        <is>
          <t>28.4187596</t>
        </is>
      </c>
      <c r="E20" t="inlineStr">
        <is>
          <t>129.6853543</t>
        </is>
      </c>
      <c r="F20" t="inlineStr">
        <is>
          <t>正保琉球国絵図写</t>
        </is>
      </c>
      <c r="G20" t="inlineStr">
        <is>
          <t>せつた村</t>
        </is>
      </c>
      <c r="H20" t="inlineStr"/>
      <c r="I20" t="inlineStr">
        <is>
          <t>〔14〕</t>
        </is>
      </c>
      <c r="J20" t="inlineStr"/>
      <c r="K20" t="inlineStr">
        <is>
          <t>鹿児島県奄美市笠利町大字節田</t>
        </is>
      </c>
      <c r="L20" s="1">
        <f>HYPERLINK("https://www.hi.u-tokyo.ac.jp/collection/degitalgallary/ryukyu/item/10019", "https://www.hi.u-tokyo.ac.jp/collection/degitalgallary/ryukyu/item/10019")</f>
        <v/>
      </c>
    </row>
    <row r="21">
      <c r="A21" t="inlineStr">
        <is>
          <t>10020</t>
        </is>
      </c>
      <c r="B21" t="inlineStr">
        <is>
          <t>笠利間切之内かしけん村</t>
        </is>
      </c>
      <c r="C21" t="inlineStr">
        <is>
          <t>村</t>
        </is>
      </c>
      <c r="D21" t="inlineStr">
        <is>
          <t>28.400282</t>
        </is>
      </c>
      <c r="E21" t="inlineStr">
        <is>
          <t>129.610219</t>
        </is>
      </c>
      <c r="F21" t="inlineStr">
        <is>
          <t>正保琉球国絵図写</t>
        </is>
      </c>
      <c r="G21" t="inlineStr">
        <is>
          <t>かしけん村</t>
        </is>
      </c>
      <c r="H21" t="inlineStr"/>
      <c r="I21" t="inlineStr">
        <is>
          <t>〔15〕</t>
        </is>
      </c>
      <c r="J21" t="inlineStr"/>
      <c r="K21" t="inlineStr">
        <is>
          <t>鹿児島県大島郡龍郷町赤尾木</t>
        </is>
      </c>
      <c r="L21" s="1">
        <f>HYPERLINK("https://www.hi.u-tokyo.ac.jp/collection/degitalgallary/ryukyu/item/10020", "https://www.hi.u-tokyo.ac.jp/collection/degitalgallary/ryukyu/item/10020")</f>
        <v/>
      </c>
    </row>
    <row r="22">
      <c r="A22" t="inlineStr">
        <is>
          <t>10021</t>
        </is>
      </c>
      <c r="B22" t="inlineStr">
        <is>
          <t>名瀬間切之内うら村</t>
        </is>
      </c>
      <c r="C22" t="inlineStr">
        <is>
          <t>村</t>
        </is>
      </c>
      <c r="D22" t="inlineStr">
        <is>
          <t>28.4073679</t>
        </is>
      </c>
      <c r="E22" t="inlineStr">
        <is>
          <t>129.5769356</t>
        </is>
      </c>
      <c r="F22" t="inlineStr">
        <is>
          <t>正保琉球国絵図写</t>
        </is>
      </c>
      <c r="G22" t="inlineStr">
        <is>
          <t>うら村</t>
        </is>
      </c>
      <c r="H22" t="inlineStr"/>
      <c r="I22" t="inlineStr">
        <is>
          <t>〔16〕</t>
        </is>
      </c>
      <c r="J22" t="inlineStr"/>
      <c r="K22" t="inlineStr">
        <is>
          <t>鹿児島県大島郡龍郷町浦</t>
        </is>
      </c>
      <c r="L22" s="1">
        <f>HYPERLINK("https://www.hi.u-tokyo.ac.jp/collection/degitalgallary/ryukyu/item/10021", "https://www.hi.u-tokyo.ac.jp/collection/degitalgallary/ryukyu/item/10021")</f>
        <v/>
      </c>
    </row>
    <row r="23">
      <c r="A23" t="inlineStr">
        <is>
          <t>10022</t>
        </is>
      </c>
      <c r="B23" t="inlineStr">
        <is>
          <t>名瀬間切</t>
        </is>
      </c>
      <c r="C23" t="inlineStr">
        <is>
          <t>間切</t>
        </is>
      </c>
      <c r="D23" t="inlineStr"/>
      <c r="E23" t="inlineStr"/>
      <c r="F23" t="inlineStr">
        <is>
          <t>正保琉球国絵図写</t>
        </is>
      </c>
      <c r="G23" t="inlineStr">
        <is>
          <t>千四百十九石余</t>
        </is>
      </c>
      <c r="H23" t="inlineStr"/>
      <c r="I23" t="inlineStr">
        <is>
          <t>〔17〕</t>
        </is>
      </c>
      <c r="J23" t="inlineStr">
        <is>
          <t>30020470000244300</t>
        </is>
      </c>
      <c r="K23" t="inlineStr"/>
      <c r="L23" s="1">
        <f>HYPERLINK("https://www.hi.u-tokyo.ac.jp/collection/degitalgallary/ryukyu/item/10022", "https://www.hi.u-tokyo.ac.jp/collection/degitalgallary/ryukyu/item/10022")</f>
        <v/>
      </c>
    </row>
    <row r="24">
      <c r="A24" t="inlineStr">
        <is>
          <t>10023</t>
        </is>
      </c>
      <c r="B24" t="inlineStr">
        <is>
          <t>名瀬間切之内小敷村</t>
        </is>
      </c>
      <c r="C24" t="inlineStr">
        <is>
          <t>村</t>
        </is>
      </c>
      <c r="D24" t="inlineStr">
        <is>
          <t>28.38268</t>
        </is>
      </c>
      <c r="E24" t="inlineStr">
        <is>
          <t>129.4709144</t>
        </is>
      </c>
      <c r="F24" t="inlineStr">
        <is>
          <t>正保琉球国絵図写</t>
        </is>
      </c>
      <c r="G24" t="inlineStr">
        <is>
          <t>小敷村</t>
        </is>
      </c>
      <c r="H24" t="inlineStr"/>
      <c r="I24" t="inlineStr">
        <is>
          <t>〔18〕</t>
        </is>
      </c>
      <c r="J24" t="inlineStr"/>
      <c r="K24" t="inlineStr">
        <is>
          <t>鹿児島県奄美市名瀬大字小宿</t>
        </is>
      </c>
      <c r="L24" s="1">
        <f>HYPERLINK("https://www.hi.u-tokyo.ac.jp/collection/degitalgallary/ryukyu/item/10023", "https://www.hi.u-tokyo.ac.jp/collection/degitalgallary/ryukyu/item/10023")</f>
        <v/>
      </c>
    </row>
    <row r="25">
      <c r="A25" t="inlineStr">
        <is>
          <t>10024</t>
        </is>
      </c>
      <c r="B25" t="inlineStr">
        <is>
          <t>焼内間切之内ゆあんかま村</t>
        </is>
      </c>
      <c r="C25" t="inlineStr">
        <is>
          <t>村</t>
        </is>
      </c>
      <c r="D25" t="inlineStr">
        <is>
          <t>28.3480798</t>
        </is>
      </c>
      <c r="E25" t="inlineStr">
        <is>
          <t>129.4217212</t>
        </is>
      </c>
      <c r="F25" t="inlineStr">
        <is>
          <t>正保琉球国絵図写</t>
        </is>
      </c>
      <c r="G25" t="inlineStr">
        <is>
          <t>ゆあんかま村</t>
        </is>
      </c>
      <c r="H25" t="inlineStr"/>
      <c r="I25" t="inlineStr">
        <is>
          <t>〔19〕</t>
        </is>
      </c>
      <c r="J25" t="inlineStr"/>
      <c r="K25" t="inlineStr">
        <is>
          <t>鹿児島県大島郡大和村湯湾釜</t>
        </is>
      </c>
      <c r="L25" s="1">
        <f>HYPERLINK("https://www.hi.u-tokyo.ac.jp/collection/degitalgallary/ryukyu/item/10024", "https://www.hi.u-tokyo.ac.jp/collection/degitalgallary/ryukyu/item/10024")</f>
        <v/>
      </c>
    </row>
    <row r="26">
      <c r="A26" t="inlineStr">
        <is>
          <t>10025</t>
        </is>
      </c>
      <c r="B26" t="inlineStr">
        <is>
          <t>焼内間切之内けせん村</t>
        </is>
      </c>
      <c r="C26" t="inlineStr">
        <is>
          <t>村</t>
        </is>
      </c>
      <c r="D26" t="inlineStr">
        <is>
          <t>28.3590278</t>
        </is>
      </c>
      <c r="E26" t="inlineStr">
        <is>
          <t>129.3541389</t>
        </is>
      </c>
      <c r="F26" t="inlineStr">
        <is>
          <t>正保琉球国絵図写</t>
        </is>
      </c>
      <c r="G26" t="inlineStr">
        <is>
          <t>けせん村</t>
        </is>
      </c>
      <c r="H26" t="inlineStr"/>
      <c r="I26" t="inlineStr">
        <is>
          <t>〔20〕</t>
        </is>
      </c>
      <c r="J26" t="inlineStr"/>
      <c r="K26" t="inlineStr">
        <is>
          <t>鹿児島県大島郡大和村大金久</t>
        </is>
      </c>
      <c r="L26" s="1">
        <f>HYPERLINK("https://www.hi.u-tokyo.ac.jp/collection/degitalgallary/ryukyu/item/10025", "https://www.hi.u-tokyo.ac.jp/collection/degitalgallary/ryukyu/item/10025")</f>
        <v/>
      </c>
    </row>
    <row r="27">
      <c r="A27" t="inlineStr">
        <is>
          <t>10026</t>
        </is>
      </c>
      <c r="B27" t="inlineStr">
        <is>
          <t>焼内間切之内なをん村</t>
        </is>
      </c>
      <c r="C27" t="inlineStr">
        <is>
          <t>村</t>
        </is>
      </c>
      <c r="D27" t="inlineStr">
        <is>
          <t>28.3111107</t>
        </is>
      </c>
      <c r="E27" t="inlineStr">
        <is>
          <t>129.3361881</t>
        </is>
      </c>
      <c r="F27" t="inlineStr">
        <is>
          <t>正保琉球国絵図写</t>
        </is>
      </c>
      <c r="G27" t="inlineStr">
        <is>
          <t>なをん村</t>
        </is>
      </c>
      <c r="H27" t="inlineStr"/>
      <c r="I27" t="inlineStr">
        <is>
          <t>〔21〕</t>
        </is>
      </c>
      <c r="J27" t="inlineStr"/>
      <c r="K27" t="inlineStr">
        <is>
          <t>鹿児島県大島郡大和村名音</t>
        </is>
      </c>
      <c r="L27" s="1">
        <f>HYPERLINK("https://www.hi.u-tokyo.ac.jp/collection/degitalgallary/ryukyu/item/10026", "https://www.hi.u-tokyo.ac.jp/collection/degitalgallary/ryukyu/item/10026")</f>
        <v/>
      </c>
    </row>
    <row r="28">
      <c r="A28" t="inlineStr">
        <is>
          <t>10027</t>
        </is>
      </c>
      <c r="B28" t="inlineStr">
        <is>
          <t>焼内間切之内うけん村</t>
        </is>
      </c>
      <c r="C28" t="inlineStr">
        <is>
          <t>村</t>
        </is>
      </c>
      <c r="D28" t="inlineStr">
        <is>
          <t>28.3039046</t>
        </is>
      </c>
      <c r="E28" t="inlineStr">
        <is>
          <t>129.2349529</t>
        </is>
      </c>
      <c r="F28" t="inlineStr">
        <is>
          <t>正保琉球国絵図写</t>
        </is>
      </c>
      <c r="G28" t="inlineStr">
        <is>
          <t>うけん村</t>
        </is>
      </c>
      <c r="H28" t="inlineStr"/>
      <c r="I28" t="inlineStr">
        <is>
          <t>〔22〕</t>
        </is>
      </c>
      <c r="J28" t="inlineStr"/>
      <c r="K28" t="inlineStr">
        <is>
          <t>鹿児島県大島郡宇検村宇検</t>
        </is>
      </c>
      <c r="L28" s="1">
        <f>HYPERLINK("https://www.hi.u-tokyo.ac.jp/collection/degitalgallary/ryukyu/item/10027", "https://www.hi.u-tokyo.ac.jp/collection/degitalgallary/ryukyu/item/10027")</f>
        <v/>
      </c>
    </row>
    <row r="29">
      <c r="A29" t="inlineStr">
        <is>
          <t>10028</t>
        </is>
      </c>
      <c r="B29" t="inlineStr">
        <is>
          <t>焼内間切</t>
        </is>
      </c>
      <c r="C29" t="inlineStr">
        <is>
          <t>間切</t>
        </is>
      </c>
      <c r="D29" t="inlineStr">
        <is>
          <t>28.2807399</t>
        </is>
      </c>
      <c r="E29" t="inlineStr">
        <is>
          <t>129.2973412</t>
        </is>
      </c>
      <c r="F29" t="inlineStr">
        <is>
          <t>正保琉球国絵図写</t>
        </is>
      </c>
      <c r="G29" t="inlineStr">
        <is>
          <t>千五百一石余</t>
        </is>
      </c>
      <c r="H29" t="inlineStr"/>
      <c r="I29" t="inlineStr">
        <is>
          <t>〔23〕</t>
        </is>
      </c>
      <c r="J29" t="inlineStr"/>
      <c r="K29" t="inlineStr">
        <is>
          <t>鹿児島県大島郡宇検村湯湾</t>
        </is>
      </c>
      <c r="L29" s="1">
        <f>HYPERLINK("https://www.hi.u-tokyo.ac.jp/collection/degitalgallary/ryukyu/item/10028", "https://www.hi.u-tokyo.ac.jp/collection/degitalgallary/ryukyu/item/10028")</f>
        <v/>
      </c>
    </row>
    <row r="30">
      <c r="A30" t="inlineStr">
        <is>
          <t>10029</t>
        </is>
      </c>
      <c r="B30" t="inlineStr">
        <is>
          <t>焼内間切之内すこ村</t>
        </is>
      </c>
      <c r="C30" t="inlineStr">
        <is>
          <t>村</t>
        </is>
      </c>
      <c r="D30" t="inlineStr">
        <is>
          <t>28.2663229</t>
        </is>
      </c>
      <c r="E30" t="inlineStr">
        <is>
          <t>129.2946754</t>
        </is>
      </c>
      <c r="F30" t="inlineStr">
        <is>
          <t>正保琉球国絵図写</t>
        </is>
      </c>
      <c r="G30" t="inlineStr">
        <is>
          <t>すこ村</t>
        </is>
      </c>
      <c r="H30" t="inlineStr"/>
      <c r="I30" t="inlineStr">
        <is>
          <t>〔24〕</t>
        </is>
      </c>
      <c r="J30" t="inlineStr"/>
      <c r="K30" t="inlineStr">
        <is>
          <t>鹿児島県大島郡宇検村須古</t>
        </is>
      </c>
      <c r="L30" s="1">
        <f>HYPERLINK("https://www.hi.u-tokyo.ac.jp/collection/degitalgallary/ryukyu/item/10029", "https://www.hi.u-tokyo.ac.jp/collection/degitalgallary/ryukyu/item/10029")</f>
        <v/>
      </c>
    </row>
    <row r="31">
      <c r="A31" t="inlineStr">
        <is>
          <t>10030</t>
        </is>
      </c>
      <c r="B31" t="inlineStr">
        <is>
          <t>西間切之内小名瀬村</t>
        </is>
      </c>
      <c r="C31" t="inlineStr">
        <is>
          <t>村</t>
        </is>
      </c>
      <c r="D31" t="inlineStr">
        <is>
          <t>28.2025994</t>
        </is>
      </c>
      <c r="E31" t="inlineStr">
        <is>
          <t>129.2868887</t>
        </is>
      </c>
      <c r="F31" t="inlineStr">
        <is>
          <t>正保琉球国絵図写</t>
        </is>
      </c>
      <c r="G31" t="inlineStr">
        <is>
          <t>小名瀬村</t>
        </is>
      </c>
      <c r="H31" t="inlineStr"/>
      <c r="I31" t="inlineStr">
        <is>
          <t>〔25〕</t>
        </is>
      </c>
      <c r="J31" t="inlineStr"/>
      <c r="K31" t="inlineStr">
        <is>
          <t>鹿児島県大島郡瀬戸内町小名瀬</t>
        </is>
      </c>
      <c r="L31" s="1">
        <f>HYPERLINK("https://www.hi.u-tokyo.ac.jp/collection/degitalgallary/ryukyu/item/10030", "https://www.hi.u-tokyo.ac.jp/collection/degitalgallary/ryukyu/item/10030")</f>
        <v/>
      </c>
    </row>
    <row r="32">
      <c r="A32" t="inlineStr">
        <is>
          <t>10031</t>
        </is>
      </c>
      <c r="B32" t="inlineStr">
        <is>
          <t>西間切之内こし村</t>
        </is>
      </c>
      <c r="C32" t="inlineStr">
        <is>
          <t>村</t>
        </is>
      </c>
      <c r="D32" t="inlineStr">
        <is>
          <t>28.2403655</t>
        </is>
      </c>
      <c r="E32" t="inlineStr">
        <is>
          <t>129.284293</t>
        </is>
      </c>
      <c r="F32" t="inlineStr">
        <is>
          <t>正保琉球国絵図写</t>
        </is>
      </c>
      <c r="G32" t="inlineStr">
        <is>
          <t>こし村</t>
        </is>
      </c>
      <c r="H32" t="inlineStr"/>
      <c r="I32" t="inlineStr">
        <is>
          <t>〔26〕</t>
        </is>
      </c>
      <c r="J32" t="inlineStr"/>
      <c r="K32" t="inlineStr">
        <is>
          <t>鹿児島県大島郡瀬戸内町古志</t>
        </is>
      </c>
      <c r="L32" s="1">
        <f>HYPERLINK("https://www.hi.u-tokyo.ac.jp/collection/degitalgallary/ryukyu/item/10031", "https://www.hi.u-tokyo.ac.jp/collection/degitalgallary/ryukyu/item/10031")</f>
        <v/>
      </c>
    </row>
    <row r="33">
      <c r="A33" t="inlineStr">
        <is>
          <t>10032</t>
        </is>
      </c>
      <c r="B33" t="inlineStr">
        <is>
          <t>西間切之内へた村</t>
        </is>
      </c>
      <c r="C33" t="inlineStr">
        <is>
          <t>村</t>
        </is>
      </c>
      <c r="D33" t="inlineStr">
        <is>
          <t>28.2517624</t>
        </is>
      </c>
      <c r="E33" t="inlineStr">
        <is>
          <t>129.2219622</t>
        </is>
      </c>
      <c r="F33" t="inlineStr">
        <is>
          <t>正保琉球国絵図写</t>
        </is>
      </c>
      <c r="G33" t="inlineStr">
        <is>
          <t>へた村</t>
        </is>
      </c>
      <c r="H33" t="inlineStr"/>
      <c r="I33" t="inlineStr">
        <is>
          <t>〔27〕</t>
        </is>
      </c>
      <c r="J33" t="inlineStr"/>
      <c r="K33" t="inlineStr">
        <is>
          <t>鹿児島県大島郡宇検村平田</t>
        </is>
      </c>
      <c r="L33" s="1">
        <f>HYPERLINK("https://www.hi.u-tokyo.ac.jp/collection/degitalgallary/ryukyu/item/10032", "https://www.hi.u-tokyo.ac.jp/collection/degitalgallary/ryukyu/item/10032")</f>
        <v/>
      </c>
    </row>
    <row r="34">
      <c r="A34" t="inlineStr">
        <is>
          <t>10033</t>
        </is>
      </c>
      <c r="B34" t="inlineStr">
        <is>
          <t>西間切之内西ノ古見村</t>
        </is>
      </c>
      <c r="C34" t="inlineStr">
        <is>
          <t>村</t>
        </is>
      </c>
      <c r="D34" t="inlineStr">
        <is>
          <t>28.2418645</t>
        </is>
      </c>
      <c r="E34" t="inlineStr">
        <is>
          <t>129.1569688</t>
        </is>
      </c>
      <c r="F34" t="inlineStr">
        <is>
          <t>正保琉球国絵図写</t>
        </is>
      </c>
      <c r="G34" t="inlineStr">
        <is>
          <t>西ノ古見村</t>
        </is>
      </c>
      <c r="H34" t="inlineStr"/>
      <c r="I34" t="inlineStr">
        <is>
          <t>〔28〕</t>
        </is>
      </c>
      <c r="J34" t="inlineStr"/>
      <c r="K34" t="inlineStr">
        <is>
          <t>鹿児島県大島郡瀬戸内町西古見</t>
        </is>
      </c>
      <c r="L34" s="1">
        <f>HYPERLINK("https://www.hi.u-tokyo.ac.jp/collection/degitalgallary/ryukyu/item/10033", "https://www.hi.u-tokyo.ac.jp/collection/degitalgallary/ryukyu/item/10033")</f>
        <v/>
      </c>
    </row>
    <row r="35">
      <c r="A35" t="inlineStr">
        <is>
          <t>10034</t>
        </is>
      </c>
      <c r="B35" t="inlineStr">
        <is>
          <t>西間切</t>
        </is>
      </c>
      <c r="C35" t="inlineStr">
        <is>
          <t>間切</t>
        </is>
      </c>
      <c r="D35" t="inlineStr"/>
      <c r="E35" t="inlineStr"/>
      <c r="F35" t="inlineStr">
        <is>
          <t>正保琉球国絵図写</t>
        </is>
      </c>
      <c r="G35" t="inlineStr">
        <is>
          <t>弐千百九十石余</t>
        </is>
      </c>
      <c r="H35" t="inlineStr"/>
      <c r="I35" t="inlineStr">
        <is>
          <t>〔29〕</t>
        </is>
      </c>
      <c r="J35" t="inlineStr">
        <is>
          <t>30020470000253100</t>
        </is>
      </c>
      <c r="K35" t="inlineStr"/>
      <c r="L35" s="1">
        <f>HYPERLINK("https://www.hi.u-tokyo.ac.jp/collection/degitalgallary/ryukyu/item/10034", "https://www.hi.u-tokyo.ac.jp/collection/degitalgallary/ryukyu/item/10034")</f>
        <v/>
      </c>
    </row>
    <row r="36">
      <c r="A36" t="inlineStr">
        <is>
          <t>10035</t>
        </is>
      </c>
      <c r="B36" t="inlineStr">
        <is>
          <t>西間切之内芝村</t>
        </is>
      </c>
      <c r="C36" t="inlineStr">
        <is>
          <t>村</t>
        </is>
      </c>
      <c r="D36" t="inlineStr">
        <is>
          <t>28.1915154</t>
        </is>
      </c>
      <c r="E36" t="inlineStr">
        <is>
          <t>129.2037708</t>
        </is>
      </c>
      <c r="F36" t="inlineStr">
        <is>
          <t>正保琉球国絵図写</t>
        </is>
      </c>
      <c r="G36" t="inlineStr">
        <is>
          <t>芝村</t>
        </is>
      </c>
      <c r="H36" t="inlineStr"/>
      <c r="I36" t="inlineStr">
        <is>
          <t>〔30〕</t>
        </is>
      </c>
      <c r="J36" t="inlineStr"/>
      <c r="K36" t="inlineStr">
        <is>
          <t>鹿児島県大島郡瀬戸内町芝</t>
        </is>
      </c>
      <c r="L36" s="1">
        <f>HYPERLINK("https://www.hi.u-tokyo.ac.jp/collection/degitalgallary/ryukyu/item/10035", "https://www.hi.u-tokyo.ac.jp/collection/degitalgallary/ryukyu/item/10035")</f>
        <v/>
      </c>
    </row>
    <row r="37">
      <c r="A37" t="inlineStr">
        <is>
          <t>10036</t>
        </is>
      </c>
      <c r="B37" t="inlineStr">
        <is>
          <t>西間切之内すこも村</t>
        </is>
      </c>
      <c r="C37" t="inlineStr">
        <is>
          <t>村</t>
        </is>
      </c>
      <c r="D37" t="inlineStr">
        <is>
          <t>28.1535869</t>
        </is>
      </c>
      <c r="E37" t="inlineStr">
        <is>
          <t>129.2115805</t>
        </is>
      </c>
      <c r="F37" t="inlineStr">
        <is>
          <t>正保琉球国絵図写</t>
        </is>
      </c>
      <c r="G37" t="inlineStr">
        <is>
          <t>すこも村</t>
        </is>
      </c>
      <c r="H37" t="inlineStr"/>
      <c r="I37" t="inlineStr">
        <is>
          <t>〔31〕</t>
        </is>
      </c>
      <c r="J37" t="inlineStr"/>
      <c r="K37" t="inlineStr">
        <is>
          <t>鹿児島県大島郡瀬戸内町須子茂</t>
        </is>
      </c>
      <c r="L37" s="1">
        <f>HYPERLINK("https://www.hi.u-tokyo.ac.jp/collection/degitalgallary/ryukyu/item/10036", "https://www.hi.u-tokyo.ac.jp/collection/degitalgallary/ryukyu/item/10036")</f>
        <v/>
      </c>
    </row>
    <row r="38">
      <c r="A38" t="inlineStr">
        <is>
          <t>10037</t>
        </is>
      </c>
      <c r="B38" t="inlineStr">
        <is>
          <t>西間切之内たけな村</t>
        </is>
      </c>
      <c r="C38" t="inlineStr">
        <is>
          <t>村</t>
        </is>
      </c>
      <c r="D38" t="inlineStr">
        <is>
          <t>28.1535306</t>
        </is>
      </c>
      <c r="E38" t="inlineStr">
        <is>
          <t>129.2276186</t>
        </is>
      </c>
      <c r="F38" t="inlineStr">
        <is>
          <t>正保琉球国絵図写</t>
        </is>
      </c>
      <c r="G38" t="inlineStr">
        <is>
          <t>たけな村</t>
        </is>
      </c>
      <c r="H38" t="inlineStr"/>
      <c r="I38" t="inlineStr">
        <is>
          <t>〔32〕</t>
        </is>
      </c>
      <c r="J38" t="inlineStr"/>
      <c r="K38" t="inlineStr">
        <is>
          <t>鹿児島県大島郡瀬戸内町武名</t>
        </is>
      </c>
      <c r="L38" s="1">
        <f>HYPERLINK("https://www.hi.u-tokyo.ac.jp/collection/degitalgallary/ryukyu/item/10037", "https://www.hi.u-tokyo.ac.jp/collection/degitalgallary/ryukyu/item/10037")</f>
        <v/>
      </c>
    </row>
    <row r="39">
      <c r="A39" t="inlineStr">
        <is>
          <t>10038</t>
        </is>
      </c>
      <c r="B39" t="inlineStr">
        <is>
          <t>西間切之内おさい村</t>
        </is>
      </c>
      <c r="C39" t="inlineStr">
        <is>
          <t>村</t>
        </is>
      </c>
      <c r="D39" t="inlineStr">
        <is>
          <t>28.0963302</t>
        </is>
      </c>
      <c r="E39" t="inlineStr">
        <is>
          <t>129.2739088</t>
        </is>
      </c>
      <c r="F39" t="inlineStr">
        <is>
          <t>正保琉球国絵図写</t>
        </is>
      </c>
      <c r="G39" t="inlineStr">
        <is>
          <t>おさい村</t>
        </is>
      </c>
      <c r="H39" t="inlineStr"/>
      <c r="I39" t="inlineStr">
        <is>
          <t>〔33〕</t>
        </is>
      </c>
      <c r="J39" t="inlineStr"/>
      <c r="K39" t="inlineStr">
        <is>
          <t>鹿児島県大島郡瀬戸内町於斉</t>
        </is>
      </c>
      <c r="L39" s="1">
        <f>HYPERLINK("https://www.hi.u-tokyo.ac.jp/collection/degitalgallary/ryukyu/item/10038", "https://www.hi.u-tokyo.ac.jp/collection/degitalgallary/ryukyu/item/10038")</f>
        <v/>
      </c>
    </row>
    <row r="40">
      <c r="A40" t="inlineStr">
        <is>
          <t>10039</t>
        </is>
      </c>
      <c r="B40" t="inlineStr">
        <is>
          <t>西間切之内おしかく村</t>
        </is>
      </c>
      <c r="C40" t="inlineStr">
        <is>
          <t>村</t>
        </is>
      </c>
      <c r="D40" t="inlineStr">
        <is>
          <t>28.1091402</t>
        </is>
      </c>
      <c r="E40" t="inlineStr">
        <is>
          <t>129.2868887</t>
        </is>
      </c>
      <c r="F40" t="inlineStr">
        <is>
          <t>正保琉球国絵図写</t>
        </is>
      </c>
      <c r="G40" t="inlineStr">
        <is>
          <t>おしかく村</t>
        </is>
      </c>
      <c r="H40" t="inlineStr"/>
      <c r="I40" t="inlineStr">
        <is>
          <t>〔34〕</t>
        </is>
      </c>
      <c r="J40" t="inlineStr"/>
      <c r="K40" t="inlineStr">
        <is>
          <t>鹿児島県大島郡瀬戸内町勝能</t>
        </is>
      </c>
      <c r="L40" s="1">
        <f>HYPERLINK("https://www.hi.u-tokyo.ac.jp/collection/degitalgallary/ryukyu/item/10039", "https://www.hi.u-tokyo.ac.jp/collection/degitalgallary/ryukyu/item/10039")</f>
        <v/>
      </c>
    </row>
    <row r="41">
      <c r="A41" t="inlineStr">
        <is>
          <t>10040</t>
        </is>
      </c>
      <c r="B41" t="inlineStr">
        <is>
          <t>西間切之内うけ村</t>
        </is>
      </c>
      <c r="C41" t="inlineStr">
        <is>
          <t>村</t>
        </is>
      </c>
      <c r="D41" t="inlineStr">
        <is>
          <t>28.0280357</t>
        </is>
      </c>
      <c r="E41" t="inlineStr">
        <is>
          <t>129.2308399</t>
        </is>
      </c>
      <c r="F41" t="inlineStr">
        <is>
          <t>正保琉球国絵図写</t>
        </is>
      </c>
      <c r="G41" t="inlineStr">
        <is>
          <t>うけ村</t>
        </is>
      </c>
      <c r="H41" t="inlineStr"/>
      <c r="I41" t="inlineStr">
        <is>
          <t>〔35〕</t>
        </is>
      </c>
      <c r="J41" t="inlineStr"/>
      <c r="K41" t="inlineStr">
        <is>
          <t>鹿児島県大島郡瀬戸内町池地</t>
        </is>
      </c>
      <c r="L41" s="1">
        <f>HYPERLINK("https://www.hi.u-tokyo.ac.jp/collection/degitalgallary/ryukyu/item/10040", "https://www.hi.u-tokyo.ac.jp/collection/degitalgallary/ryukyu/item/10040")</f>
        <v/>
      </c>
    </row>
    <row r="42">
      <c r="A42" t="inlineStr">
        <is>
          <t>10041</t>
        </is>
      </c>
      <c r="B42" t="inlineStr">
        <is>
          <t>西間切之内よろ村</t>
        </is>
      </c>
      <c r="C42" t="inlineStr">
        <is>
          <t>村</t>
        </is>
      </c>
      <c r="D42" t="inlineStr">
        <is>
          <t>28.0365857</t>
        </is>
      </c>
      <c r="E42" t="inlineStr">
        <is>
          <t>129.1595698</t>
        </is>
      </c>
      <c r="F42" t="inlineStr">
        <is>
          <t>正保琉球国絵図写</t>
        </is>
      </c>
      <c r="G42" t="inlineStr">
        <is>
          <t>よろ村</t>
        </is>
      </c>
      <c r="H42" t="inlineStr"/>
      <c r="I42" t="inlineStr">
        <is>
          <t>〔36〕</t>
        </is>
      </c>
      <c r="J42" t="inlineStr"/>
      <c r="K42" t="inlineStr">
        <is>
          <t>鹿児島県大島郡瀬戸内町与路</t>
        </is>
      </c>
      <c r="L42" s="1">
        <f>HYPERLINK("https://www.hi.u-tokyo.ac.jp/collection/degitalgallary/ryukyu/item/10041", "https://www.hi.u-tokyo.ac.jp/collection/degitalgallary/ryukyu/item/10041")</f>
        <v/>
      </c>
    </row>
    <row r="43">
      <c r="A43" t="inlineStr">
        <is>
          <t>10042</t>
        </is>
      </c>
      <c r="B43" t="inlineStr">
        <is>
          <t>東間切之内かめの川村</t>
        </is>
      </c>
      <c r="C43" t="inlineStr">
        <is>
          <t>村</t>
        </is>
      </c>
      <c r="D43" t="inlineStr">
        <is>
          <t>28.0683673</t>
        </is>
      </c>
      <c r="E43" t="inlineStr">
        <is>
          <t>129.2763698</t>
        </is>
      </c>
      <c r="F43" t="inlineStr">
        <is>
          <t>正保琉球国絵図写</t>
        </is>
      </c>
      <c r="G43" t="inlineStr">
        <is>
          <t>かめの川村</t>
        </is>
      </c>
      <c r="H43" t="inlineStr"/>
      <c r="I43" t="inlineStr">
        <is>
          <t>〔37〕</t>
        </is>
      </c>
      <c r="J43" t="inlineStr"/>
      <c r="K43" t="inlineStr">
        <is>
          <t>鹿児島県大島郡瀬戸内町秋徳</t>
        </is>
      </c>
      <c r="L43" s="1">
        <f>HYPERLINK("https://www.hi.u-tokyo.ac.jp/collection/degitalgallary/ryukyu/item/10042", "https://www.hi.u-tokyo.ac.jp/collection/degitalgallary/ryukyu/item/10042")</f>
        <v/>
      </c>
    </row>
    <row r="44">
      <c r="A44" t="inlineStr">
        <is>
          <t>10043</t>
        </is>
      </c>
      <c r="B44" t="inlineStr">
        <is>
          <t>東間切之内しよとん村</t>
        </is>
      </c>
      <c r="C44" t="inlineStr">
        <is>
          <t>村</t>
        </is>
      </c>
      <c r="D44" t="inlineStr">
        <is>
          <t>28.0851795</t>
        </is>
      </c>
      <c r="E44" t="inlineStr">
        <is>
          <t>129.3284066</t>
        </is>
      </c>
      <c r="F44" t="inlineStr">
        <is>
          <t>正保琉球国絵図写</t>
        </is>
      </c>
      <c r="G44" t="inlineStr">
        <is>
          <t>しよとん村</t>
        </is>
      </c>
      <c r="H44" t="inlineStr"/>
      <c r="I44" t="inlineStr">
        <is>
          <t>〔38〕</t>
        </is>
      </c>
      <c r="J44" t="inlineStr"/>
      <c r="K44" t="inlineStr">
        <is>
          <t>鹿児島県大島郡瀬戸内町諸鈍</t>
        </is>
      </c>
      <c r="L44" s="1">
        <f>HYPERLINK("https://www.hi.u-tokyo.ac.jp/collection/degitalgallary/ryukyu/item/10043", "https://www.hi.u-tokyo.ac.jp/collection/degitalgallary/ryukyu/item/10043")</f>
        <v/>
      </c>
    </row>
    <row r="45">
      <c r="A45" t="inlineStr">
        <is>
          <t>10044</t>
        </is>
      </c>
      <c r="B45" t="inlineStr">
        <is>
          <t>東間切之内かちよく村</t>
        </is>
      </c>
      <c r="C45" t="inlineStr">
        <is>
          <t>村</t>
        </is>
      </c>
      <c r="D45" t="inlineStr">
        <is>
          <t>28.1091402</t>
        </is>
      </c>
      <c r="E45" t="inlineStr">
        <is>
          <t>129.2868887</t>
        </is>
      </c>
      <c r="F45" t="inlineStr">
        <is>
          <t>正保琉球国絵図写</t>
        </is>
      </c>
      <c r="G45" t="inlineStr">
        <is>
          <t>かちよく村</t>
        </is>
      </c>
      <c r="H45" t="inlineStr"/>
      <c r="I45" t="inlineStr">
        <is>
          <t>〔39〕</t>
        </is>
      </c>
      <c r="J45" t="inlineStr"/>
      <c r="K45" t="inlineStr">
        <is>
          <t>鹿児島県大島郡瀬戸内町勝能</t>
        </is>
      </c>
      <c r="L45" s="1">
        <f>HYPERLINK("https://www.hi.u-tokyo.ac.jp/collection/degitalgallary/ryukyu/item/10044", "https://www.hi.u-tokyo.ac.jp/collection/degitalgallary/ryukyu/item/10044")</f>
        <v/>
      </c>
    </row>
    <row r="46">
      <c r="A46" t="inlineStr">
        <is>
          <t>10045</t>
        </is>
      </c>
      <c r="B46" t="inlineStr">
        <is>
          <t>東間切</t>
        </is>
      </c>
      <c r="C46" t="inlineStr">
        <is>
          <t>間切</t>
        </is>
      </c>
      <c r="D46" t="inlineStr"/>
      <c r="E46" t="inlineStr"/>
      <c r="F46" t="inlineStr">
        <is>
          <t>正保琉球国絵図写</t>
        </is>
      </c>
      <c r="G46" t="inlineStr">
        <is>
          <t>千七百卅一石余</t>
        </is>
      </c>
      <c r="H46" t="inlineStr"/>
      <c r="I46" t="inlineStr">
        <is>
          <t>〔40〕</t>
        </is>
      </c>
      <c r="J46" t="inlineStr">
        <is>
          <t>30020470000237000</t>
        </is>
      </c>
      <c r="K46" t="inlineStr"/>
      <c r="L46" s="1">
        <f>HYPERLINK("https://www.hi.u-tokyo.ac.jp/collection/degitalgallary/ryukyu/item/10045", "https://www.hi.u-tokyo.ac.jp/collection/degitalgallary/ryukyu/item/10045")</f>
        <v/>
      </c>
    </row>
    <row r="47">
      <c r="A47" t="inlineStr">
        <is>
          <t>10046</t>
        </is>
      </c>
      <c r="B47" t="inlineStr">
        <is>
          <t>東間切之内くねつ村</t>
        </is>
      </c>
      <c r="C47" t="inlineStr">
        <is>
          <t>村</t>
        </is>
      </c>
      <c r="D47" t="inlineStr">
        <is>
          <t>28.1677867</t>
        </is>
      </c>
      <c r="E47" t="inlineStr">
        <is>
          <t>129.3024611</t>
        </is>
      </c>
      <c r="F47" t="inlineStr">
        <is>
          <t>正保琉球国絵図写</t>
        </is>
      </c>
      <c r="G47" t="inlineStr">
        <is>
          <t>くねつ村</t>
        </is>
      </c>
      <c r="H47" t="inlineStr"/>
      <c r="I47" t="inlineStr">
        <is>
          <t>〔41〕</t>
        </is>
      </c>
      <c r="J47" t="inlineStr"/>
      <c r="K47" t="inlineStr">
        <is>
          <t>鹿児島県大島郡瀬戸内町久根津</t>
        </is>
      </c>
      <c r="L47" s="1">
        <f>HYPERLINK("https://www.hi.u-tokyo.ac.jp/collection/degitalgallary/ryukyu/item/10046", "https://www.hi.u-tokyo.ac.jp/collection/degitalgallary/ryukyu/item/10046")</f>
        <v/>
      </c>
    </row>
    <row r="48">
      <c r="A48" t="inlineStr">
        <is>
          <t>10047</t>
        </is>
      </c>
      <c r="B48" t="inlineStr">
        <is>
          <t>東間切之内あきな村</t>
        </is>
      </c>
      <c r="C48" t="inlineStr">
        <is>
          <t>村</t>
        </is>
      </c>
      <c r="D48" t="inlineStr">
        <is>
          <t>28.1868716</t>
        </is>
      </c>
      <c r="E48" t="inlineStr">
        <is>
          <t>129.3258125</t>
        </is>
      </c>
      <c r="F48" t="inlineStr">
        <is>
          <t>正保琉球国絵図写</t>
        </is>
      </c>
      <c r="G48" t="inlineStr">
        <is>
          <t>あきな村</t>
        </is>
      </c>
      <c r="H48" t="inlineStr"/>
      <c r="I48" t="inlineStr">
        <is>
          <t>〔42〕</t>
        </is>
      </c>
      <c r="J48" t="inlineStr"/>
      <c r="K48" t="inlineStr">
        <is>
          <t>鹿児島県大島郡瀬戸内町阿木名</t>
        </is>
      </c>
      <c r="L48" s="1">
        <f>HYPERLINK("https://www.hi.u-tokyo.ac.jp/collection/degitalgallary/ryukyu/item/10047", "https://www.hi.u-tokyo.ac.jp/collection/degitalgallary/ryukyu/item/10047")</f>
        <v/>
      </c>
    </row>
    <row r="49">
      <c r="A49" t="inlineStr">
        <is>
          <t>10048</t>
        </is>
      </c>
      <c r="B49" t="inlineStr">
        <is>
          <t>東間切之内かとく村</t>
        </is>
      </c>
      <c r="C49" t="inlineStr">
        <is>
          <t>村</t>
        </is>
      </c>
      <c r="D49" t="inlineStr">
        <is>
          <t>28.2013918</t>
        </is>
      </c>
      <c r="E49" t="inlineStr">
        <is>
          <t>129.3984056</t>
        </is>
      </c>
      <c r="F49" t="inlineStr">
        <is>
          <t>正保琉球国絵図写</t>
        </is>
      </c>
      <c r="G49" t="inlineStr">
        <is>
          <t>かとく村</t>
        </is>
      </c>
      <c r="H49" t="inlineStr"/>
      <c r="I49" t="inlineStr">
        <is>
          <t>〔43〕</t>
        </is>
      </c>
      <c r="J49" t="inlineStr"/>
      <c r="K49" t="inlineStr">
        <is>
          <t>鹿児島県大島郡瀬戸内町嘉徳</t>
        </is>
      </c>
      <c r="L49" s="1">
        <f>HYPERLINK("https://www.hi.u-tokyo.ac.jp/collection/degitalgallary/ryukyu/item/10048", "https://www.hi.u-tokyo.ac.jp/collection/degitalgallary/ryukyu/item/10048")</f>
        <v/>
      </c>
    </row>
    <row r="50">
      <c r="A50" t="inlineStr">
        <is>
          <t>10049</t>
        </is>
      </c>
      <c r="B50" t="inlineStr">
        <is>
          <t>住用間切</t>
        </is>
      </c>
      <c r="C50" t="inlineStr">
        <is>
          <t>間切</t>
        </is>
      </c>
      <c r="D50" t="inlineStr"/>
      <c r="E50" t="inlineStr"/>
      <c r="F50" t="inlineStr">
        <is>
          <t>正保琉球国絵図写</t>
        </is>
      </c>
      <c r="G50" t="inlineStr">
        <is>
          <t>九百四拾七石余</t>
        </is>
      </c>
      <c r="H50" t="inlineStr"/>
      <c r="I50" t="inlineStr">
        <is>
          <t>〔44〕</t>
        </is>
      </c>
      <c r="J50" t="inlineStr"/>
      <c r="K50" t="inlineStr"/>
      <c r="L50" s="1">
        <f>HYPERLINK("https://www.hi.u-tokyo.ac.jp/collection/degitalgallary/ryukyu/item/10049", "https://www.hi.u-tokyo.ac.jp/collection/degitalgallary/ryukyu/item/10049")</f>
        <v/>
      </c>
    </row>
    <row r="51">
      <c r="A51" t="inlineStr">
        <is>
          <t>10050</t>
        </is>
      </c>
      <c r="B51" t="inlineStr">
        <is>
          <t>住用間切之内かねく村</t>
        </is>
      </c>
      <c r="C51" t="inlineStr">
        <is>
          <t>村</t>
        </is>
      </c>
      <c r="D51" t="inlineStr">
        <is>
          <t>28.3175572</t>
        </is>
      </c>
      <c r="E51" t="inlineStr">
        <is>
          <t>129.4605625</t>
        </is>
      </c>
      <c r="F51" t="inlineStr">
        <is>
          <t>正保琉球国絵図写</t>
        </is>
      </c>
      <c r="G51" t="inlineStr">
        <is>
          <t>かねく村</t>
        </is>
      </c>
      <c r="H51" t="inlineStr"/>
      <c r="I51" t="inlineStr">
        <is>
          <t>〔45〕</t>
        </is>
      </c>
      <c r="J51" t="inlineStr"/>
      <c r="K51" t="inlineStr">
        <is>
          <t>鹿児島県奄美市住用町大字城</t>
        </is>
      </c>
      <c r="L51" s="1">
        <f>HYPERLINK("https://www.hi.u-tokyo.ac.jp/collection/degitalgallary/ryukyu/item/10050", "https://www.hi.u-tokyo.ac.jp/collection/degitalgallary/ryukyu/item/10050")</f>
        <v/>
      </c>
    </row>
    <row r="52">
      <c r="A52" t="inlineStr">
        <is>
          <t>10051</t>
        </is>
      </c>
      <c r="B52" t="inlineStr">
        <is>
          <t>古見間切</t>
        </is>
      </c>
      <c r="C52" t="inlineStr">
        <is>
          <t>間切</t>
        </is>
      </c>
      <c r="D52" t="inlineStr"/>
      <c r="E52" t="inlineStr"/>
      <c r="F52" t="inlineStr">
        <is>
          <t>正保琉球国絵図写</t>
        </is>
      </c>
      <c r="G52" t="inlineStr">
        <is>
          <t>千六百六十五石余</t>
        </is>
      </c>
      <c r="H52" t="inlineStr"/>
      <c r="I52" t="inlineStr">
        <is>
          <t>〔46〕</t>
        </is>
      </c>
      <c r="J52" t="inlineStr">
        <is>
          <t>30020470000244500</t>
        </is>
      </c>
      <c r="K52" t="inlineStr"/>
      <c r="L52" s="1">
        <f>HYPERLINK("https://www.hi.u-tokyo.ac.jp/collection/degitalgallary/ryukyu/item/10051", "https://www.hi.u-tokyo.ac.jp/collection/degitalgallary/ryukyu/item/10051")</f>
        <v/>
      </c>
    </row>
    <row r="53">
      <c r="A53" t="inlineStr">
        <is>
          <t>10052</t>
        </is>
      </c>
      <c r="B53" t="inlineStr">
        <is>
          <t>古見間切之内とくち村</t>
        </is>
      </c>
      <c r="C53" t="inlineStr">
        <is>
          <t>村</t>
        </is>
      </c>
      <c r="D53" t="inlineStr">
        <is>
          <t>28.3619361</t>
        </is>
      </c>
      <c r="E53" t="inlineStr">
        <is>
          <t>129.5666001</t>
        </is>
      </c>
      <c r="F53" t="inlineStr">
        <is>
          <t>正保琉球国絵図写</t>
        </is>
      </c>
      <c r="G53" t="inlineStr">
        <is>
          <t>とくち村</t>
        </is>
      </c>
      <c r="H53" t="inlineStr"/>
      <c r="I53" t="inlineStr">
        <is>
          <t>〔47〕</t>
        </is>
      </c>
      <c r="J53" t="inlineStr"/>
      <c r="K53" t="inlineStr">
        <is>
          <t>鹿児島県大島郡龍郷町戸口</t>
        </is>
      </c>
      <c r="L53" s="1">
        <f>HYPERLINK("https://www.hi.u-tokyo.ac.jp/collection/degitalgallary/ryukyu/item/10052", "https://www.hi.u-tokyo.ac.jp/collection/degitalgallary/ryukyu/item/10052")</f>
        <v/>
      </c>
    </row>
    <row r="54">
      <c r="A54" t="inlineStr">
        <is>
          <t>10053</t>
        </is>
      </c>
      <c r="B54" t="inlineStr">
        <is>
          <t>東間切之内かめつ村</t>
        </is>
      </c>
      <c r="C54" t="inlineStr">
        <is>
          <t>村</t>
        </is>
      </c>
      <c r="D54" t="inlineStr">
        <is>
          <t>27.7281452</t>
        </is>
      </c>
      <c r="E54" t="inlineStr">
        <is>
          <t>129.0072741</t>
        </is>
      </c>
      <c r="F54" t="inlineStr">
        <is>
          <t>正保琉球国絵図写</t>
        </is>
      </c>
      <c r="G54" t="inlineStr">
        <is>
          <t>かめつ村</t>
        </is>
      </c>
      <c r="H54" t="inlineStr"/>
      <c r="I54" t="inlineStr">
        <is>
          <t>〔48〕</t>
        </is>
      </c>
      <c r="J54" t="inlineStr"/>
      <c r="K54" t="inlineStr">
        <is>
          <t>鹿児島県大島郡徳之島町亀津</t>
        </is>
      </c>
      <c r="L54" s="1">
        <f>HYPERLINK("https://www.hi.u-tokyo.ac.jp/collection/degitalgallary/ryukyu/item/10053", "https://www.hi.u-tokyo.ac.jp/collection/degitalgallary/ryukyu/item/10053")</f>
        <v/>
      </c>
    </row>
    <row r="55">
      <c r="A55" t="inlineStr">
        <is>
          <t>10054</t>
        </is>
      </c>
      <c r="B55" t="inlineStr">
        <is>
          <t>東間切</t>
        </is>
      </c>
      <c r="C55" t="inlineStr">
        <is>
          <t>間切</t>
        </is>
      </c>
      <c r="D55" t="inlineStr"/>
      <c r="E55" t="inlineStr"/>
      <c r="F55" t="inlineStr">
        <is>
          <t>正保琉球国絵図写</t>
        </is>
      </c>
      <c r="G55" t="inlineStr">
        <is>
          <t>弐千五十一石余</t>
        </is>
      </c>
      <c r="H55" t="inlineStr"/>
      <c r="I55" t="inlineStr">
        <is>
          <t>〔49〕</t>
        </is>
      </c>
      <c r="J55" t="inlineStr">
        <is>
          <t>30020470000237000</t>
        </is>
      </c>
      <c r="K55" t="inlineStr"/>
      <c r="L55" s="1">
        <f>HYPERLINK("https://www.hi.u-tokyo.ac.jp/collection/degitalgallary/ryukyu/item/10054", "https://www.hi.u-tokyo.ac.jp/collection/degitalgallary/ryukyu/item/10054")</f>
        <v/>
      </c>
    </row>
    <row r="56">
      <c r="A56" t="inlineStr">
        <is>
          <t>10055</t>
        </is>
      </c>
      <c r="B56" t="inlineStr">
        <is>
          <t>東間切之内花徳村</t>
        </is>
      </c>
      <c r="C56" t="inlineStr">
        <is>
          <t>村</t>
        </is>
      </c>
      <c r="D56" t="inlineStr">
        <is>
          <t>27.820358</t>
        </is>
      </c>
      <c r="E56" t="inlineStr">
        <is>
          <t>128.9511518</t>
        </is>
      </c>
      <c r="F56" t="inlineStr">
        <is>
          <t>正保琉球国絵図写</t>
        </is>
      </c>
      <c r="G56" t="inlineStr">
        <is>
          <t>花徳村</t>
        </is>
      </c>
      <c r="H56" t="inlineStr"/>
      <c r="I56" t="inlineStr">
        <is>
          <t>〔50〕</t>
        </is>
      </c>
      <c r="J56" t="inlineStr"/>
      <c r="K56" t="inlineStr">
        <is>
          <t>鹿児島県大島郡徳之島町花徳</t>
        </is>
      </c>
      <c r="L56" s="1">
        <f>HYPERLINK("https://www.hi.u-tokyo.ac.jp/collection/degitalgallary/ryukyu/item/10055", "https://www.hi.u-tokyo.ac.jp/collection/degitalgallary/ryukyu/item/10055")</f>
        <v/>
      </c>
    </row>
    <row r="57">
      <c r="A57" t="inlineStr">
        <is>
          <t>10056</t>
        </is>
      </c>
      <c r="B57" t="inlineStr">
        <is>
          <t>西目間切之内てゝ村</t>
        </is>
      </c>
      <c r="C57" t="inlineStr">
        <is>
          <t>村</t>
        </is>
      </c>
      <c r="D57" t="inlineStr">
        <is>
          <t>27.8802288</t>
        </is>
      </c>
      <c r="E57" t="inlineStr">
        <is>
          <t>128.9198304</t>
        </is>
      </c>
      <c r="F57" t="inlineStr">
        <is>
          <t>正保琉球国絵図写</t>
        </is>
      </c>
      <c r="G57" t="inlineStr">
        <is>
          <t>てゝ村</t>
        </is>
      </c>
      <c r="H57" t="inlineStr"/>
      <c r="I57" t="inlineStr">
        <is>
          <t>〔51〕</t>
        </is>
      </c>
      <c r="J57" t="inlineStr"/>
      <c r="K57" t="inlineStr">
        <is>
          <t>鹿児島県大島郡徳之島町手々</t>
        </is>
      </c>
      <c r="L57" s="1">
        <f>HYPERLINK("https://www.hi.u-tokyo.ac.jp/collection/degitalgallary/ryukyu/item/10056", "https://www.hi.u-tokyo.ac.jp/collection/degitalgallary/ryukyu/item/10056")</f>
        <v/>
      </c>
    </row>
    <row r="58">
      <c r="A58" t="inlineStr">
        <is>
          <t>10057</t>
        </is>
      </c>
      <c r="B58" t="inlineStr">
        <is>
          <t>西目間切之内よなま村</t>
        </is>
      </c>
      <c r="C58" t="inlineStr">
        <is>
          <t>村</t>
        </is>
      </c>
      <c r="D58" t="inlineStr">
        <is>
          <t>27.8604602</t>
        </is>
      </c>
      <c r="E58" t="inlineStr">
        <is>
          <t>128.9198304</t>
        </is>
      </c>
      <c r="F58" t="inlineStr">
        <is>
          <t>正保琉球国絵図写</t>
        </is>
      </c>
      <c r="G58" t="inlineStr">
        <is>
          <t>よなま村</t>
        </is>
      </c>
      <c r="H58" t="inlineStr"/>
      <c r="I58" t="inlineStr">
        <is>
          <t>〔52〕</t>
        </is>
      </c>
      <c r="J58" t="inlineStr"/>
      <c r="K58" t="inlineStr">
        <is>
          <t>鹿児島県大島郡天城町与名間</t>
        </is>
      </c>
      <c r="L58" s="1">
        <f>HYPERLINK("https://www.hi.u-tokyo.ac.jp/collection/degitalgallary/ryukyu/item/10057", "https://www.hi.u-tokyo.ac.jp/collection/degitalgallary/ryukyu/item/10057")</f>
        <v/>
      </c>
    </row>
    <row r="59">
      <c r="A59" t="inlineStr">
        <is>
          <t>10058</t>
        </is>
      </c>
      <c r="B59" t="inlineStr">
        <is>
          <t>西目間切</t>
        </is>
      </c>
      <c r="C59" t="inlineStr">
        <is>
          <t>間切</t>
        </is>
      </c>
      <c r="D59" t="inlineStr">
        <is>
          <t>27.8117941</t>
        </is>
      </c>
      <c r="E59" t="inlineStr">
        <is>
          <t>128.8979416</t>
        </is>
      </c>
      <c r="F59" t="inlineStr">
        <is>
          <t>正保琉球国絵図写</t>
        </is>
      </c>
      <c r="G59" t="inlineStr">
        <is>
          <t>三千九百七拾六石余</t>
        </is>
      </c>
      <c r="H59" t="inlineStr"/>
      <c r="I59" t="inlineStr">
        <is>
          <t>〔53〕</t>
        </is>
      </c>
      <c r="J59" t="inlineStr">
        <is>
          <t>30020470000236800</t>
        </is>
      </c>
      <c r="K59" t="inlineStr">
        <is>
          <t>鹿児島県大島郡天城町平土野</t>
        </is>
      </c>
      <c r="L59" s="1">
        <f>HYPERLINK("https://www.hi.u-tokyo.ac.jp/collection/degitalgallary/ryukyu/item/10058", "https://www.hi.u-tokyo.ac.jp/collection/degitalgallary/ryukyu/item/10058")</f>
        <v/>
      </c>
    </row>
    <row r="60">
      <c r="A60" t="inlineStr">
        <is>
          <t>10059</t>
        </is>
      </c>
      <c r="B60" t="inlineStr">
        <is>
          <t>西目間切之内せたき村</t>
        </is>
      </c>
      <c r="C60" t="inlineStr">
        <is>
          <t>村</t>
        </is>
      </c>
      <c r="D60" t="inlineStr">
        <is>
          <t>27.7782985</t>
        </is>
      </c>
      <c r="E60" t="inlineStr">
        <is>
          <t>128.9067753</t>
        </is>
      </c>
      <c r="F60" t="inlineStr">
        <is>
          <t>正保琉球国絵図写</t>
        </is>
      </c>
      <c r="G60" t="inlineStr">
        <is>
          <t>せたき村</t>
        </is>
      </c>
      <c r="H60" t="inlineStr"/>
      <c r="I60" t="inlineStr">
        <is>
          <t>〔54〕</t>
        </is>
      </c>
      <c r="J60" t="inlineStr"/>
      <c r="K60" t="inlineStr">
        <is>
          <t>鹿児島県大島郡天城町瀬滝</t>
        </is>
      </c>
      <c r="L60" s="1">
        <f>HYPERLINK("https://www.hi.u-tokyo.ac.jp/collection/degitalgallary/ryukyu/item/10059", "https://www.hi.u-tokyo.ac.jp/collection/degitalgallary/ryukyu/item/10059")</f>
        <v/>
      </c>
    </row>
    <row r="61">
      <c r="A61" t="inlineStr">
        <is>
          <t>10060</t>
        </is>
      </c>
      <c r="B61" t="inlineStr">
        <is>
          <t>面縄間切之内あこん村</t>
        </is>
      </c>
      <c r="C61" t="inlineStr">
        <is>
          <t>村</t>
        </is>
      </c>
      <c r="D61" t="inlineStr">
        <is>
          <t>27.7120116</t>
        </is>
      </c>
      <c r="E61" t="inlineStr">
        <is>
          <t>128.9276622</t>
        </is>
      </c>
      <c r="F61" t="inlineStr">
        <is>
          <t>正保琉球国絵図写</t>
        </is>
      </c>
      <c r="G61" t="inlineStr">
        <is>
          <t>あこん村</t>
        </is>
      </c>
      <c r="H61" t="inlineStr"/>
      <c r="I61" t="inlineStr">
        <is>
          <t>〔55〕</t>
        </is>
      </c>
      <c r="J61" t="inlineStr"/>
      <c r="K61" t="inlineStr">
        <is>
          <t>鹿児島県大島郡伊仙町阿権</t>
        </is>
      </c>
      <c r="L61" s="1">
        <f>HYPERLINK("https://www.hi.u-tokyo.ac.jp/collection/degitalgallary/ryukyu/item/10060", "https://www.hi.u-tokyo.ac.jp/collection/degitalgallary/ryukyu/item/10060")</f>
        <v/>
      </c>
    </row>
    <row r="62">
      <c r="A62" t="inlineStr">
        <is>
          <t>10061</t>
        </is>
      </c>
      <c r="B62" t="inlineStr">
        <is>
          <t>面縄間切</t>
        </is>
      </c>
      <c r="C62" t="inlineStr">
        <is>
          <t>間切</t>
        </is>
      </c>
      <c r="D62" t="inlineStr">
        <is>
          <t>27.6735195</t>
        </is>
      </c>
      <c r="E62" t="inlineStr">
        <is>
          <t>128.9378668</t>
        </is>
      </c>
      <c r="F62" t="inlineStr">
        <is>
          <t>正保琉球国絵図写</t>
        </is>
      </c>
      <c r="G62" t="inlineStr">
        <is>
          <t>三千九百八拾弐石余</t>
        </is>
      </c>
      <c r="H62" t="inlineStr"/>
      <c r="I62" t="inlineStr">
        <is>
          <t>〔56〕</t>
        </is>
      </c>
      <c r="J62" t="inlineStr">
        <is>
          <t>30020470000263700</t>
        </is>
      </c>
      <c r="K62" t="inlineStr">
        <is>
          <t>鹿児島県大島郡伊仙町伊仙</t>
        </is>
      </c>
      <c r="L62" s="1">
        <f>HYPERLINK("https://www.hi.u-tokyo.ac.jp/collection/degitalgallary/ryukyu/item/10061", "https://www.hi.u-tokyo.ac.jp/collection/degitalgallary/ryukyu/item/10061")</f>
        <v/>
      </c>
    </row>
    <row r="63">
      <c r="A63" t="inlineStr">
        <is>
          <t>10062</t>
        </is>
      </c>
      <c r="B63" t="inlineStr">
        <is>
          <t>きびる間切</t>
        </is>
      </c>
      <c r="C63" t="inlineStr">
        <is>
          <t>間切</t>
        </is>
      </c>
      <c r="D63" t="inlineStr">
        <is>
          <t>27.411801</t>
        </is>
      </c>
      <c r="E63" t="inlineStr">
        <is>
          <t>128.6700217</t>
        </is>
      </c>
      <c r="F63" t="inlineStr">
        <is>
          <t>正保琉球国絵図写</t>
        </is>
      </c>
      <c r="G63" t="inlineStr">
        <is>
          <t>千七百九拾石余</t>
        </is>
      </c>
      <c r="H63" t="inlineStr"/>
      <c r="I63" t="inlineStr">
        <is>
          <t>〔57〕</t>
        </is>
      </c>
      <c r="J63" t="inlineStr"/>
      <c r="K63" t="inlineStr">
        <is>
          <t>鹿児島県大島郡和泊町喜美留</t>
        </is>
      </c>
      <c r="L63" s="1">
        <f>HYPERLINK("https://www.hi.u-tokyo.ac.jp/collection/degitalgallary/ryukyu/item/10062", "https://www.hi.u-tokyo.ac.jp/collection/degitalgallary/ryukyu/item/10062")</f>
        <v/>
      </c>
    </row>
    <row r="64">
      <c r="A64" t="inlineStr">
        <is>
          <t>10063</t>
        </is>
      </c>
      <c r="B64" t="inlineStr">
        <is>
          <t>きひる間切之内あぜふ村</t>
        </is>
      </c>
      <c r="C64" t="inlineStr">
        <is>
          <t>村</t>
        </is>
      </c>
      <c r="D64" t="inlineStr">
        <is>
          <t>27.4039405</t>
        </is>
      </c>
      <c r="E64" t="inlineStr">
        <is>
          <t>128.6333198</t>
        </is>
      </c>
      <c r="F64" t="inlineStr">
        <is>
          <t>正保琉球国絵図写</t>
        </is>
      </c>
      <c r="G64" t="inlineStr">
        <is>
          <t>あぜふ村</t>
        </is>
      </c>
      <c r="H64" t="inlineStr"/>
      <c r="I64" t="inlineStr">
        <is>
          <t>〔58〕</t>
        </is>
      </c>
      <c r="J64" t="inlineStr"/>
      <c r="K64" t="inlineStr">
        <is>
          <t>鹿児島県大島郡和泊町畦布</t>
        </is>
      </c>
      <c r="L64" s="1">
        <f>HYPERLINK("https://www.hi.u-tokyo.ac.jp/collection/degitalgallary/ryukyu/item/10063", "https://www.hi.u-tokyo.ac.jp/collection/degitalgallary/ryukyu/item/10063")</f>
        <v/>
      </c>
    </row>
    <row r="65">
      <c r="A65" t="inlineStr">
        <is>
          <t>10064</t>
        </is>
      </c>
      <c r="B65" t="inlineStr">
        <is>
          <t>徳時間切之内西目村</t>
        </is>
      </c>
      <c r="C65" t="inlineStr">
        <is>
          <t>村</t>
        </is>
      </c>
      <c r="D65" t="inlineStr">
        <is>
          <t>27.3797757</t>
        </is>
      </c>
      <c r="E65" t="inlineStr">
        <is>
          <t>128.5703543</t>
        </is>
      </c>
      <c r="F65" t="inlineStr">
        <is>
          <t>正保琉球国絵図写</t>
        </is>
      </c>
      <c r="G65" t="inlineStr">
        <is>
          <t>西目村</t>
        </is>
      </c>
      <c r="H65" t="inlineStr"/>
      <c r="I65" t="inlineStr">
        <is>
          <t>〔59〕</t>
        </is>
      </c>
      <c r="J65" t="inlineStr"/>
      <c r="K65" t="inlineStr">
        <is>
          <t>鹿児島県大島郡知名町上城</t>
        </is>
      </c>
      <c r="L65" s="1">
        <f>HYPERLINK("https://www.hi.u-tokyo.ac.jp/collection/degitalgallary/ryukyu/item/10064", "https://www.hi.u-tokyo.ac.jp/collection/degitalgallary/ryukyu/item/10064")</f>
        <v/>
      </c>
    </row>
    <row r="66">
      <c r="A66" t="inlineStr">
        <is>
          <t>10065</t>
        </is>
      </c>
      <c r="B66" t="inlineStr">
        <is>
          <t>徳時間切</t>
        </is>
      </c>
      <c r="C66" t="inlineStr">
        <is>
          <t>間切</t>
        </is>
      </c>
      <c r="D66" t="inlineStr">
        <is>
          <t>27.353573</t>
        </is>
      </c>
      <c r="E66" t="inlineStr">
        <is>
          <t>128.5401619</t>
        </is>
      </c>
      <c r="F66" t="inlineStr">
        <is>
          <t>正保琉球国絵図写</t>
        </is>
      </c>
      <c r="G66" t="inlineStr">
        <is>
          <t>千七百八十石余</t>
        </is>
      </c>
      <c r="H66" t="inlineStr"/>
      <c r="I66" t="inlineStr">
        <is>
          <t>〔60〕</t>
        </is>
      </c>
      <c r="J66" t="inlineStr">
        <is>
          <t>30020470000266500</t>
        </is>
      </c>
      <c r="K66" t="inlineStr">
        <is>
          <t>鹿児島県大島郡知名町徳時</t>
        </is>
      </c>
      <c r="L66" s="1">
        <f>HYPERLINK("https://www.hi.u-tokyo.ac.jp/collection/degitalgallary/ryukyu/item/10065", "https://www.hi.u-tokyo.ac.jp/collection/degitalgallary/ryukyu/item/10065")</f>
        <v/>
      </c>
    </row>
    <row r="67">
      <c r="A67" t="inlineStr">
        <is>
          <t>10066</t>
        </is>
      </c>
      <c r="B67" t="inlineStr">
        <is>
          <t>徳時間切之内ぢな村</t>
        </is>
      </c>
      <c r="C67" t="inlineStr">
        <is>
          <t>村</t>
        </is>
      </c>
      <c r="D67" t="inlineStr">
        <is>
          <t>27.3350964</t>
        </is>
      </c>
      <c r="E67" t="inlineStr">
        <is>
          <t>128.5664169</t>
        </is>
      </c>
      <c r="F67" t="inlineStr">
        <is>
          <t>正保琉球国絵図写</t>
        </is>
      </c>
      <c r="G67" t="inlineStr">
        <is>
          <t>ぢな村</t>
        </is>
      </c>
      <c r="H67" t="inlineStr"/>
      <c r="I67" t="inlineStr">
        <is>
          <t>〔61〕</t>
        </is>
      </c>
      <c r="J67" t="inlineStr"/>
      <c r="K67" t="inlineStr">
        <is>
          <t>鹿児島県大島郡知名町知名</t>
        </is>
      </c>
      <c r="L67" s="1">
        <f>HYPERLINK("https://www.hi.u-tokyo.ac.jp/collection/degitalgallary/ryukyu/item/10066", "https://www.hi.u-tokyo.ac.jp/collection/degitalgallary/ryukyu/item/10066")</f>
        <v/>
      </c>
    </row>
    <row r="68">
      <c r="A68" t="inlineStr">
        <is>
          <t>10067</t>
        </is>
      </c>
      <c r="B68" t="inlineStr">
        <is>
          <t>大城間切之内下平川村</t>
        </is>
      </c>
      <c r="C68" t="inlineStr">
        <is>
          <t>村</t>
        </is>
      </c>
      <c r="D68" t="inlineStr">
        <is>
          <t>27.3605179</t>
        </is>
      </c>
      <c r="E68" t="inlineStr">
        <is>
          <t>128.5913495</t>
        </is>
      </c>
      <c r="F68" t="inlineStr">
        <is>
          <t>正保琉球国絵図写</t>
        </is>
      </c>
      <c r="G68" t="inlineStr">
        <is>
          <t>下平川村</t>
        </is>
      </c>
      <c r="H68" t="inlineStr"/>
      <c r="I68" t="inlineStr">
        <is>
          <t>〔62〕</t>
        </is>
      </c>
      <c r="J68" t="inlineStr"/>
      <c r="K68" t="inlineStr">
        <is>
          <t>鹿児島県大島郡知名町下平川</t>
        </is>
      </c>
      <c r="L68" s="1">
        <f>HYPERLINK("https://www.hi.u-tokyo.ac.jp/collection/degitalgallary/ryukyu/item/10067", "https://www.hi.u-tokyo.ac.jp/collection/degitalgallary/ryukyu/item/10067")</f>
        <v/>
      </c>
    </row>
    <row r="69">
      <c r="A69" t="inlineStr">
        <is>
          <t>10068</t>
        </is>
      </c>
      <c r="B69" t="inlineStr">
        <is>
          <t>大城間切</t>
        </is>
      </c>
      <c r="C69" t="inlineStr">
        <is>
          <t>間切</t>
        </is>
      </c>
      <c r="D69" t="inlineStr">
        <is>
          <t>27.3776145</t>
        </is>
      </c>
      <c r="E69" t="inlineStr">
        <is>
          <t>128.6188955</t>
        </is>
      </c>
      <c r="F69" t="inlineStr">
        <is>
          <t>正保琉球国絵図写</t>
        </is>
      </c>
      <c r="G69" t="inlineStr">
        <is>
          <t>五百八十八石余</t>
        </is>
      </c>
      <c r="H69" t="inlineStr"/>
      <c r="I69" t="inlineStr">
        <is>
          <t>〔63〕</t>
        </is>
      </c>
      <c r="J69" t="inlineStr">
        <is>
          <t>30020470000266800</t>
        </is>
      </c>
      <c r="K69" t="inlineStr">
        <is>
          <t>鹿児島県大島郡和泊町大城</t>
        </is>
      </c>
      <c r="L69" s="1">
        <f>HYPERLINK("https://www.hi.u-tokyo.ac.jp/collection/degitalgallary/ryukyu/item/10068", "https://www.hi.u-tokyo.ac.jp/collection/degitalgallary/ryukyu/item/10068")</f>
        <v/>
      </c>
    </row>
    <row r="70">
      <c r="A70" t="inlineStr">
        <is>
          <t>10069</t>
        </is>
      </c>
      <c r="B70" t="inlineStr">
        <is>
          <t>大城間切之内和村</t>
        </is>
      </c>
      <c r="C70" t="inlineStr">
        <is>
          <t>村</t>
        </is>
      </c>
      <c r="D70" t="inlineStr">
        <is>
          <t>27.395595926733545</t>
        </is>
      </c>
      <c r="E70" t="inlineStr">
        <is>
          <t>128.63988101163653</t>
        </is>
      </c>
      <c r="F70" t="inlineStr">
        <is>
          <t>正保琉球国絵図写</t>
        </is>
      </c>
      <c r="G70" t="inlineStr">
        <is>
          <t>和村</t>
        </is>
      </c>
      <c r="H70" t="inlineStr"/>
      <c r="I70" t="inlineStr">
        <is>
          <t>〔64〕</t>
        </is>
      </c>
      <c r="J70" t="inlineStr"/>
      <c r="K70" t="inlineStr">
        <is>
          <t>鹿児島県大島郡和泊町和</t>
        </is>
      </c>
      <c r="L70" s="1">
        <f>HYPERLINK("https://www.hi.u-tokyo.ac.jp/collection/degitalgallary/ryukyu/item/10069", "https://www.hi.u-tokyo.ac.jp/collection/degitalgallary/ryukyu/item/10069")</f>
        <v/>
      </c>
    </row>
    <row r="71">
      <c r="A71" t="inlineStr">
        <is>
          <t>10070</t>
        </is>
      </c>
      <c r="B71" t="inlineStr">
        <is>
          <t>むきや村</t>
        </is>
      </c>
      <c r="C71" t="inlineStr">
        <is>
          <t>村</t>
        </is>
      </c>
      <c r="D71" t="inlineStr">
        <is>
          <t>27.0309176</t>
        </is>
      </c>
      <c r="E71" t="inlineStr">
        <is>
          <t>128.4455395</t>
        </is>
      </c>
      <c r="F71" t="inlineStr">
        <is>
          <t>正保琉球国絵図写</t>
        </is>
      </c>
      <c r="G71" t="inlineStr">
        <is>
          <t>千二百七拾弐石余</t>
        </is>
      </c>
      <c r="H71" t="inlineStr"/>
      <c r="I71" t="inlineStr">
        <is>
          <t>〔65〕</t>
        </is>
      </c>
      <c r="J71" t="inlineStr"/>
      <c r="K71" t="inlineStr">
        <is>
          <t>鹿児島県大島郡与論町麦屋</t>
        </is>
      </c>
      <c r="L71" s="1">
        <f>HYPERLINK("https://www.hi.u-tokyo.ac.jp/collection/degitalgallary/ryukyu/item/10070", "https://www.hi.u-tokyo.ac.jp/collection/degitalgallary/ryukyu/item/10070")</f>
        <v/>
      </c>
    </row>
    <row r="72">
      <c r="A72" t="inlineStr">
        <is>
          <t>10071</t>
        </is>
      </c>
      <c r="B72" t="inlineStr">
        <is>
          <t>むきや村内あがさ村</t>
        </is>
      </c>
      <c r="C72" t="inlineStr">
        <is>
          <t>村</t>
        </is>
      </c>
      <c r="D72" t="inlineStr">
        <is>
          <t>27.0493098</t>
        </is>
      </c>
      <c r="E72" t="inlineStr">
        <is>
          <t>128.414953</t>
        </is>
      </c>
      <c r="F72" t="inlineStr">
        <is>
          <t>正保琉球国絵図写</t>
        </is>
      </c>
      <c r="G72" t="inlineStr">
        <is>
          <t>あがさ村</t>
        </is>
      </c>
      <c r="H72" t="inlineStr"/>
      <c r="I72" t="inlineStr">
        <is>
          <t>〔66〕</t>
        </is>
      </c>
      <c r="J72" t="inlineStr"/>
      <c r="K72" t="inlineStr">
        <is>
          <t>鹿児島県大島郡与論町茶花</t>
        </is>
      </c>
      <c r="L72" s="1">
        <f>HYPERLINK("https://www.hi.u-tokyo.ac.jp/collection/degitalgallary/ryukyu/item/10071", "https://www.hi.u-tokyo.ac.jp/collection/degitalgallary/ryukyu/item/10071")</f>
        <v/>
      </c>
    </row>
    <row r="73">
      <c r="A73" t="inlineStr">
        <is>
          <t>10072</t>
        </is>
      </c>
      <c r="B73" t="inlineStr">
        <is>
          <t>鬼界嶋
高六千九百三拾弐石四斗
嶋廻六里廿四町</t>
        </is>
      </c>
      <c r="C73" t="inlineStr">
        <is>
          <t>島</t>
        </is>
      </c>
      <c r="D73" t="inlineStr">
        <is>
          <t>28.3216123</t>
        </is>
      </c>
      <c r="E73" t="inlineStr">
        <is>
          <t>129.9709674</t>
        </is>
      </c>
      <c r="F73" t="inlineStr">
        <is>
          <t>正保琉球国絵図写</t>
        </is>
      </c>
      <c r="G73" t="inlineStr"/>
      <c r="H73" t="inlineStr"/>
      <c r="I73" t="inlineStr">
        <is>
          <t>1</t>
        </is>
      </c>
      <c r="J73" t="inlineStr"/>
      <c r="K73" t="inlineStr">
        <is>
          <t>鹿児島県大島郡喜界町島中</t>
        </is>
      </c>
      <c r="L73" s="1">
        <f>HYPERLINK("https://www.hi.u-tokyo.ac.jp/collection/degitalgallary/ryukyu/item/10072", "https://www.hi.u-tokyo.ac.jp/collection/degitalgallary/ryukyu/item/10072")</f>
        <v/>
      </c>
    </row>
    <row r="74">
      <c r="A74" t="inlineStr">
        <is>
          <t>10073</t>
        </is>
      </c>
      <c r="B74" t="inlineStr">
        <is>
          <t>八幡宮</t>
        </is>
      </c>
      <c r="C74" t="inlineStr">
        <is>
          <t>寺社</t>
        </is>
      </c>
      <c r="D74" t="inlineStr">
        <is>
          <t>28.312544</t>
        </is>
      </c>
      <c r="E74" t="inlineStr">
        <is>
          <t>129.962715</t>
        </is>
      </c>
      <c r="F74" t="inlineStr">
        <is>
          <t>正保琉球国絵図写</t>
        </is>
      </c>
      <c r="G74" t="inlineStr"/>
      <c r="H74" t="inlineStr"/>
      <c r="I74" t="inlineStr">
        <is>
          <t>2</t>
        </is>
      </c>
      <c r="J74" t="inlineStr"/>
      <c r="K74" t="inlineStr">
        <is>
          <t>鹿児島県大島郡喜界町城久</t>
        </is>
      </c>
      <c r="L74" s="1">
        <f>HYPERLINK("https://www.hi.u-tokyo.ac.jp/collection/degitalgallary/ryukyu/item/10073", "https://www.hi.u-tokyo.ac.jp/collection/degitalgallary/ryukyu/item/10073")</f>
        <v/>
      </c>
    </row>
    <row r="75">
      <c r="A75" t="inlineStr">
        <is>
          <t>10074</t>
        </is>
      </c>
      <c r="B75" t="inlineStr">
        <is>
          <t>おかみ山</t>
        </is>
      </c>
      <c r="C75" t="inlineStr">
        <is>
          <t>山</t>
        </is>
      </c>
      <c r="D75" t="inlineStr"/>
      <c r="E75" t="inlineStr"/>
      <c r="F75" t="inlineStr">
        <is>
          <t>正保琉球国絵図写</t>
        </is>
      </c>
      <c r="G75" t="inlineStr"/>
      <c r="H75" t="inlineStr"/>
      <c r="I75" t="inlineStr">
        <is>
          <t>3</t>
        </is>
      </c>
      <c r="J75" t="inlineStr"/>
      <c r="K75" t="inlineStr"/>
      <c r="L75" s="1">
        <f>HYPERLINK("https://www.hi.u-tokyo.ac.jp/collection/degitalgallary/ryukyu/item/10074", "https://www.hi.u-tokyo.ac.jp/collection/degitalgallary/ryukyu/item/10074")</f>
        <v/>
      </c>
    </row>
    <row r="76">
      <c r="A76" t="inlineStr">
        <is>
          <t>10075</t>
        </is>
      </c>
      <c r="B76" t="inlineStr">
        <is>
          <t>とひよ崎</t>
        </is>
      </c>
      <c r="C76" t="inlineStr">
        <is>
          <t>崎</t>
        </is>
      </c>
      <c r="D76" t="inlineStr">
        <is>
          <t>28.3781929</t>
        </is>
      </c>
      <c r="E76" t="inlineStr">
        <is>
          <t>130.019795</t>
        </is>
      </c>
      <c r="F76" t="inlineStr">
        <is>
          <t>正保琉球国絵図写</t>
        </is>
      </c>
      <c r="G76" t="inlineStr"/>
      <c r="H76" t="inlineStr"/>
      <c r="I76" t="inlineStr">
        <is>
          <t>4</t>
        </is>
      </c>
      <c r="J76" t="inlineStr"/>
      <c r="K76" t="inlineStr">
        <is>
          <t>鹿児島県大島郡喜界町小野津</t>
        </is>
      </c>
      <c r="L76" s="1">
        <f>HYPERLINK("https://www.hi.u-tokyo.ac.jp/collection/degitalgallary/ryukyu/item/10075", "https://www.hi.u-tokyo.ac.jp/collection/degitalgallary/ryukyu/item/10075")</f>
        <v/>
      </c>
    </row>
    <row r="77">
      <c r="A77" t="inlineStr">
        <is>
          <t>10076</t>
        </is>
      </c>
      <c r="B77" t="inlineStr">
        <is>
          <t>をのつ崎</t>
        </is>
      </c>
      <c r="C77" t="inlineStr">
        <is>
          <t>崎</t>
        </is>
      </c>
      <c r="D77" t="inlineStr">
        <is>
          <t>28.3662751</t>
        </is>
      </c>
      <c r="E77" t="inlineStr">
        <is>
          <t>129.9989043</t>
        </is>
      </c>
      <c r="F77" t="inlineStr">
        <is>
          <t>正保琉球国絵図写</t>
        </is>
      </c>
      <c r="G77" t="inlineStr"/>
      <c r="H77" t="inlineStr"/>
      <c r="I77" t="inlineStr">
        <is>
          <t>5</t>
        </is>
      </c>
      <c r="J77" t="inlineStr"/>
      <c r="K77" t="inlineStr">
        <is>
          <t>鹿児島県大島郡喜界町小野津</t>
        </is>
      </c>
      <c r="L77" s="1">
        <f>HYPERLINK("https://www.hi.u-tokyo.ac.jp/collection/degitalgallary/ryukyu/item/10076", "https://www.hi.u-tokyo.ac.jp/collection/degitalgallary/ryukyu/item/10076")</f>
        <v/>
      </c>
    </row>
    <row r="78">
      <c r="A78" t="inlineStr">
        <is>
          <t>10077</t>
        </is>
      </c>
      <c r="B78" t="inlineStr">
        <is>
          <t>大船出入なし</t>
        </is>
      </c>
      <c r="C78" t="inlineStr">
        <is>
          <t>港湾</t>
        </is>
      </c>
      <c r="D78" t="inlineStr"/>
      <c r="E78" t="inlineStr"/>
      <c r="F78" t="inlineStr">
        <is>
          <t>正保琉球国絵図写</t>
        </is>
      </c>
      <c r="G78" t="inlineStr"/>
      <c r="H78" t="inlineStr"/>
      <c r="I78" t="inlineStr">
        <is>
          <t>6</t>
        </is>
      </c>
      <c r="J78" t="inlineStr"/>
      <c r="K78" t="inlineStr"/>
      <c r="L78" s="1">
        <f>HYPERLINK("https://www.hi.u-tokyo.ac.jp/collection/degitalgallary/ryukyu/item/10077", "https://www.hi.u-tokyo.ac.jp/collection/degitalgallary/ryukyu/item/10077")</f>
        <v/>
      </c>
    </row>
    <row r="79">
      <c r="A79" t="inlineStr">
        <is>
          <t>10078</t>
        </is>
      </c>
      <c r="B79" t="inlineStr">
        <is>
          <t>わん泊</t>
        </is>
      </c>
      <c r="C79" t="inlineStr">
        <is>
          <t>港湾</t>
        </is>
      </c>
      <c r="D79" t="inlineStr">
        <is>
          <t>28.3240384</t>
        </is>
      </c>
      <c r="E79" t="inlineStr">
        <is>
          <t>129.9369348</t>
        </is>
      </c>
      <c r="F79" t="inlineStr">
        <is>
          <t>正保琉球国絵図写</t>
        </is>
      </c>
      <c r="G79" t="inlineStr">
        <is>
          <t>此わん泊湊、入一町半、広さ一町、深さ四尋瀬有之故、大船出入不自由、北風西風之時船かゝり不成</t>
        </is>
      </c>
      <c r="H79" t="inlineStr"/>
      <c r="I79" t="inlineStr">
        <is>
          <t>7</t>
        </is>
      </c>
      <c r="J79" t="inlineStr"/>
      <c r="K79" t="inlineStr">
        <is>
          <t>鹿児島県大島郡喜界町湾</t>
        </is>
      </c>
      <c r="L79" s="1">
        <f>HYPERLINK("https://www.hi.u-tokyo.ac.jp/collection/degitalgallary/ryukyu/item/10078", "https://www.hi.u-tokyo.ac.jp/collection/degitalgallary/ryukyu/item/10078")</f>
        <v/>
      </c>
    </row>
    <row r="80">
      <c r="A80" t="inlineStr">
        <is>
          <t>10079</t>
        </is>
      </c>
      <c r="B80" t="inlineStr">
        <is>
          <t>はいき崎</t>
        </is>
      </c>
      <c r="C80" t="inlineStr">
        <is>
          <t>崎</t>
        </is>
      </c>
      <c r="D80" t="inlineStr">
        <is>
          <t>28.3292196</t>
        </is>
      </c>
      <c r="E80" t="inlineStr">
        <is>
          <t>129.9388753</t>
        </is>
      </c>
      <c r="F80" t="inlineStr">
        <is>
          <t>正保琉球国絵図写</t>
        </is>
      </c>
      <c r="G80" t="inlineStr"/>
      <c r="H80" t="inlineStr"/>
      <c r="I80" t="inlineStr">
        <is>
          <t>8</t>
        </is>
      </c>
      <c r="J80" t="inlineStr"/>
      <c r="K80" t="inlineStr">
        <is>
          <t>鹿児島県大島郡喜界町赤連</t>
        </is>
      </c>
      <c r="L80" s="1">
        <f>HYPERLINK("https://www.hi.u-tokyo.ac.jp/collection/degitalgallary/ryukyu/item/10079", "https://www.hi.u-tokyo.ac.jp/collection/degitalgallary/ryukyu/item/10079")</f>
        <v/>
      </c>
    </row>
    <row r="81">
      <c r="A81" t="inlineStr">
        <is>
          <t>10080</t>
        </is>
      </c>
      <c r="B81" t="inlineStr">
        <is>
          <t>あら崎</t>
        </is>
      </c>
      <c r="C81" t="inlineStr">
        <is>
          <t>崎</t>
        </is>
      </c>
      <c r="D81" t="inlineStr">
        <is>
          <t>28.2901192</t>
        </is>
      </c>
      <c r="E81" t="inlineStr">
        <is>
          <t>129.9215361</t>
        </is>
      </c>
      <c r="F81" t="inlineStr">
        <is>
          <t>正保琉球国絵図写</t>
        </is>
      </c>
      <c r="G81" t="inlineStr"/>
      <c r="H81" t="inlineStr"/>
      <c r="I81" t="inlineStr">
        <is>
          <t>9</t>
        </is>
      </c>
      <c r="J81" t="inlineStr"/>
      <c r="K81" t="inlineStr">
        <is>
          <t>鹿児島県大島郡喜界町荒木</t>
        </is>
      </c>
      <c r="L81" s="1">
        <f>HYPERLINK("https://www.hi.u-tokyo.ac.jp/collection/degitalgallary/ryukyu/item/10080", "https://www.hi.u-tokyo.ac.jp/collection/degitalgallary/ryukyu/item/10080")</f>
        <v/>
      </c>
    </row>
    <row r="82">
      <c r="A82" t="inlineStr">
        <is>
          <t>10081</t>
        </is>
      </c>
      <c r="B82" t="inlineStr">
        <is>
          <t>しつる崎</t>
        </is>
      </c>
      <c r="C82" t="inlineStr">
        <is>
          <t>崎</t>
        </is>
      </c>
      <c r="D82" t="inlineStr">
        <is>
          <t>28.283932</t>
        </is>
      </c>
      <c r="E82" t="inlineStr">
        <is>
          <t>129.9474153</t>
        </is>
      </c>
      <c r="F82" t="inlineStr">
        <is>
          <t>正保琉球国絵図写</t>
        </is>
      </c>
      <c r="G82" t="inlineStr"/>
      <c r="H82" t="inlineStr"/>
      <c r="I82" t="inlineStr">
        <is>
          <t>10</t>
        </is>
      </c>
      <c r="J82" t="inlineStr"/>
      <c r="K82" t="inlineStr">
        <is>
          <t>鹿児島県大島郡喜界町上嘉鉄</t>
        </is>
      </c>
      <c r="L82" s="1">
        <f>HYPERLINK("https://www.hi.u-tokyo.ac.jp/collection/degitalgallary/ryukyu/item/10081", "https://www.hi.u-tokyo.ac.jp/collection/degitalgallary/ryukyu/item/10081")</f>
        <v/>
      </c>
    </row>
    <row r="83">
      <c r="A83" t="inlineStr">
        <is>
          <t>10082</t>
        </is>
      </c>
      <c r="B83" t="inlineStr">
        <is>
          <t>かまふ崎</t>
        </is>
      </c>
      <c r="C83" t="inlineStr">
        <is>
          <t>崎</t>
        </is>
      </c>
      <c r="D83" t="inlineStr">
        <is>
          <t>28.288801</t>
        </is>
      </c>
      <c r="E83" t="inlineStr">
        <is>
          <t>129.977338</t>
        </is>
      </c>
      <c r="F83" t="inlineStr">
        <is>
          <t>正保琉球国絵図写</t>
        </is>
      </c>
      <c r="G83" t="inlineStr"/>
      <c r="H83" t="inlineStr"/>
      <c r="I83" t="inlineStr">
        <is>
          <t>11</t>
        </is>
      </c>
      <c r="J83" t="inlineStr"/>
      <c r="K83" t="inlineStr">
        <is>
          <t>鹿児島県大島郡喜界町花良治</t>
        </is>
      </c>
      <c r="L83" s="1">
        <f>HYPERLINK("https://www.hi.u-tokyo.ac.jp/collection/degitalgallary/ryukyu/item/10082", "https://www.hi.u-tokyo.ac.jp/collection/degitalgallary/ryukyu/item/10082")</f>
        <v/>
      </c>
    </row>
    <row r="84">
      <c r="A84" t="inlineStr">
        <is>
          <t>10083</t>
        </is>
      </c>
      <c r="B84" t="inlineStr">
        <is>
          <t>大船出入なし</t>
        </is>
      </c>
      <c r="C84" t="inlineStr">
        <is>
          <t>港湾</t>
        </is>
      </c>
      <c r="D84" t="inlineStr"/>
      <c r="E84" t="inlineStr"/>
      <c r="F84" t="inlineStr">
        <is>
          <t>正保琉球国絵図写</t>
        </is>
      </c>
      <c r="G84" t="inlineStr"/>
      <c r="H84" t="inlineStr"/>
      <c r="I84" t="inlineStr">
        <is>
          <t>12</t>
        </is>
      </c>
      <c r="J84" t="inlineStr"/>
      <c r="K84" t="inlineStr"/>
      <c r="L84" s="1">
        <f>HYPERLINK("https://www.hi.u-tokyo.ac.jp/collection/degitalgallary/ryukyu/item/10083", "https://www.hi.u-tokyo.ac.jp/collection/degitalgallary/ryukyu/item/10083")</f>
        <v/>
      </c>
    </row>
    <row r="85">
      <c r="A85" t="inlineStr">
        <is>
          <t>10084</t>
        </is>
      </c>
      <c r="B85" t="inlineStr">
        <is>
          <t>大船出入なし</t>
        </is>
      </c>
      <c r="C85" t="inlineStr">
        <is>
          <t>港湾</t>
        </is>
      </c>
      <c r="D85" t="inlineStr"/>
      <c r="E85" t="inlineStr"/>
      <c r="F85" t="inlineStr">
        <is>
          <t>正保琉球国絵図写</t>
        </is>
      </c>
      <c r="G85" t="inlineStr"/>
      <c r="H85" t="inlineStr"/>
      <c r="I85" t="inlineStr">
        <is>
          <t>13</t>
        </is>
      </c>
      <c r="J85" t="inlineStr"/>
      <c r="K85" t="inlineStr"/>
      <c r="L85" s="1">
        <f>HYPERLINK("https://www.hi.u-tokyo.ac.jp/collection/degitalgallary/ryukyu/item/10084", "https://www.hi.u-tokyo.ac.jp/collection/degitalgallary/ryukyu/item/10084")</f>
        <v/>
      </c>
    </row>
    <row r="86">
      <c r="A86" t="inlineStr">
        <is>
          <t>10085</t>
        </is>
      </c>
      <c r="B86" t="inlineStr">
        <is>
          <t>（合印）</t>
        </is>
      </c>
      <c r="C86" t="inlineStr">
        <is>
          <t>その他</t>
        </is>
      </c>
      <c r="D86" t="inlineStr"/>
      <c r="E86" t="inlineStr"/>
      <c r="F86" t="inlineStr">
        <is>
          <t>正保琉球国絵図写</t>
        </is>
      </c>
      <c r="G86" t="inlineStr"/>
      <c r="H86" t="inlineStr">
        <is>
          <t>▽</t>
        </is>
      </c>
      <c r="I86" t="inlineStr"/>
      <c r="J86" t="inlineStr"/>
      <c r="K86" t="inlineStr"/>
      <c r="L86" s="1">
        <f>HYPERLINK("https://www.hi.u-tokyo.ac.jp/collection/degitalgallary/ryukyu/item/10085", "https://www.hi.u-tokyo.ac.jp/collection/degitalgallary/ryukyu/item/10085")</f>
        <v/>
      </c>
    </row>
    <row r="87">
      <c r="A87" t="inlineStr">
        <is>
          <t>10086</t>
        </is>
      </c>
      <c r="B87" t="inlineStr">
        <is>
          <t>あまみすか渡</t>
        </is>
      </c>
      <c r="C87" t="inlineStr">
        <is>
          <t>航路</t>
        </is>
      </c>
      <c r="D87" t="inlineStr"/>
      <c r="E87" t="inlineStr"/>
      <c r="F87" t="inlineStr">
        <is>
          <t>正保琉球国絵図写</t>
        </is>
      </c>
      <c r="G87" t="inlineStr"/>
      <c r="H87" t="inlineStr"/>
      <c r="I87" t="inlineStr">
        <is>
          <t>14</t>
        </is>
      </c>
      <c r="J87" t="inlineStr"/>
      <c r="K87" t="inlineStr"/>
      <c r="L87" s="1">
        <f>HYPERLINK("https://www.hi.u-tokyo.ac.jp/collection/degitalgallary/ryukyu/item/10086", "https://www.hi.u-tokyo.ac.jp/collection/degitalgallary/ryukyu/item/10086")</f>
        <v/>
      </c>
    </row>
    <row r="88">
      <c r="A88" t="inlineStr">
        <is>
          <t>10087</t>
        </is>
      </c>
      <c r="B88" t="inlineStr">
        <is>
          <t>大隅国之内口之永良部嶋ヨリ大嶋之内ふかいか浦湊迄、海上七十里午ノ方ニ当ル</t>
        </is>
      </c>
      <c r="C88" t="inlineStr">
        <is>
          <t>航路</t>
        </is>
      </c>
      <c r="D88" t="inlineStr"/>
      <c r="E88" t="inlineStr"/>
      <c r="F88" t="inlineStr">
        <is>
          <t>正保琉球国絵図写</t>
        </is>
      </c>
      <c r="G88" t="inlineStr"/>
      <c r="H88" t="inlineStr"/>
      <c r="I88" t="inlineStr"/>
      <c r="J88" t="inlineStr"/>
      <c r="K88" t="inlineStr"/>
      <c r="L88" s="1">
        <f>HYPERLINK("https://www.hi.u-tokyo.ac.jp/collection/degitalgallary/ryukyu/item/10087", "https://www.hi.u-tokyo.ac.jp/collection/degitalgallary/ryukyu/item/10087")</f>
        <v/>
      </c>
    </row>
    <row r="89">
      <c r="A89" t="inlineStr">
        <is>
          <t>10088</t>
        </is>
      </c>
      <c r="B89" t="inlineStr">
        <is>
          <t>（合印）</t>
        </is>
      </c>
      <c r="C89" t="inlineStr">
        <is>
          <t>その他</t>
        </is>
      </c>
      <c r="D89" t="inlineStr"/>
      <c r="E89" t="inlineStr"/>
      <c r="F89" t="inlineStr">
        <is>
          <t>正保琉球国絵図写</t>
        </is>
      </c>
      <c r="G89" t="inlineStr"/>
      <c r="H89" t="inlineStr">
        <is>
          <t>□</t>
        </is>
      </c>
      <c r="I89" t="inlineStr"/>
      <c r="J89" t="inlineStr"/>
      <c r="K89" t="inlineStr"/>
      <c r="L89" s="1">
        <f>HYPERLINK("https://www.hi.u-tokyo.ac.jp/collection/degitalgallary/ryukyu/item/10088", "https://www.hi.u-tokyo.ac.jp/collection/degitalgallary/ryukyu/item/10088")</f>
        <v/>
      </c>
    </row>
    <row r="90">
      <c r="A90" t="inlineStr">
        <is>
          <t>10089</t>
        </is>
      </c>
      <c r="B90" t="inlineStr">
        <is>
          <t>七嶋之内とから嶋よりふかいか浦湊迄、海上三十五里巳之方ニ当ル、此渡昼夜共ニ潮東へ落ス</t>
        </is>
      </c>
      <c r="C90" t="inlineStr">
        <is>
          <t>航路</t>
        </is>
      </c>
      <c r="D90" t="inlineStr"/>
      <c r="E90" t="inlineStr"/>
      <c r="F90" t="inlineStr">
        <is>
          <t>正保琉球国絵図写</t>
        </is>
      </c>
      <c r="G90" t="inlineStr"/>
      <c r="H90" t="inlineStr"/>
      <c r="I90" t="inlineStr">
        <is>
          <t>15</t>
        </is>
      </c>
      <c r="J90" t="inlineStr"/>
      <c r="K90" t="inlineStr"/>
      <c r="L90" s="1">
        <f>HYPERLINK("https://www.hi.u-tokyo.ac.jp/collection/degitalgallary/ryukyu/item/10089", "https://www.hi.u-tokyo.ac.jp/collection/degitalgallary/ryukyu/item/10089")</f>
        <v/>
      </c>
    </row>
    <row r="91">
      <c r="A91" t="inlineStr">
        <is>
          <t>10090</t>
        </is>
      </c>
      <c r="B91" t="inlineStr">
        <is>
          <t>ふかいか浦湊より名瀬之湊迄、海上三里</t>
        </is>
      </c>
      <c r="C91" t="inlineStr">
        <is>
          <t>航路</t>
        </is>
      </c>
      <c r="D91" t="inlineStr"/>
      <c r="E91" t="inlineStr"/>
      <c r="F91" t="inlineStr">
        <is>
          <t>正保琉球国絵図写</t>
        </is>
      </c>
      <c r="G91" t="inlineStr"/>
      <c r="H91" t="inlineStr"/>
      <c r="I91" t="inlineStr">
        <is>
          <t>16</t>
        </is>
      </c>
      <c r="J91" t="inlineStr"/>
      <c r="K91" t="inlineStr"/>
      <c r="L91" s="1">
        <f>HYPERLINK("https://www.hi.u-tokyo.ac.jp/collection/degitalgallary/ryukyu/item/10090", "https://www.hi.u-tokyo.ac.jp/collection/degitalgallary/ryukyu/item/10090")</f>
        <v/>
      </c>
    </row>
    <row r="92">
      <c r="A92" t="inlineStr">
        <is>
          <t>10091</t>
        </is>
      </c>
      <c r="B92" t="inlineStr">
        <is>
          <t>ふかいか浦湊</t>
        </is>
      </c>
      <c r="C92" t="inlineStr">
        <is>
          <t>港湾</t>
        </is>
      </c>
      <c r="D92" t="inlineStr">
        <is>
          <t>28.4211899</t>
        </is>
      </c>
      <c r="E92" t="inlineStr">
        <is>
          <t>129.5977798</t>
        </is>
      </c>
      <c r="F92" t="inlineStr">
        <is>
          <t>正保琉球国絵図写</t>
        </is>
      </c>
      <c r="G92" t="inlineStr">
        <is>
          <t>此ふかいか浦湊、入三十町、広さ四町、深さ十三尋、南風ニ船繋り不自由、大船三十艘程繋ル</t>
        </is>
      </c>
      <c r="H92" t="inlineStr"/>
      <c r="I92" t="inlineStr">
        <is>
          <t>17</t>
        </is>
      </c>
      <c r="J92" t="inlineStr"/>
      <c r="K92" t="inlineStr">
        <is>
          <t>鹿児島県大島郡龍郷町瀬留</t>
        </is>
      </c>
      <c r="L92" s="1">
        <f>HYPERLINK("https://www.hi.u-tokyo.ac.jp/collection/degitalgallary/ryukyu/item/10091", "https://www.hi.u-tokyo.ac.jp/collection/degitalgallary/ryukyu/item/10091")</f>
        <v/>
      </c>
    </row>
    <row r="93">
      <c r="A93" t="inlineStr">
        <is>
          <t>10092</t>
        </is>
      </c>
      <c r="B93" t="inlineStr">
        <is>
          <t>いまてく崎</t>
        </is>
      </c>
      <c r="C93" t="inlineStr">
        <is>
          <t>崎</t>
        </is>
      </c>
      <c r="D93" t="inlineStr">
        <is>
          <t>28.4492274</t>
        </is>
      </c>
      <c r="E93" t="inlineStr">
        <is>
          <t>129.6223079</t>
        </is>
      </c>
      <c r="F93" t="inlineStr">
        <is>
          <t>正保琉球国絵図写</t>
        </is>
      </c>
      <c r="G93" t="inlineStr"/>
      <c r="H93" t="inlineStr"/>
      <c r="I93" t="inlineStr">
        <is>
          <t>18</t>
        </is>
      </c>
      <c r="J93" t="inlineStr"/>
      <c r="K93" t="inlineStr">
        <is>
          <t>鹿児島県大島郡龍郷町芦徳</t>
        </is>
      </c>
      <c r="L93" s="1">
        <f>HYPERLINK("https://www.hi.u-tokyo.ac.jp/collection/degitalgallary/ryukyu/item/10092", "https://www.hi.u-tokyo.ac.jp/collection/degitalgallary/ryukyu/item/10092")</f>
        <v/>
      </c>
    </row>
    <row r="94">
      <c r="A94" t="inlineStr">
        <is>
          <t>10093</t>
        </is>
      </c>
      <c r="B94" t="inlineStr">
        <is>
          <t>いつとむ崎</t>
        </is>
      </c>
      <c r="C94" t="inlineStr">
        <is>
          <t>崎</t>
        </is>
      </c>
      <c r="D94" t="inlineStr">
        <is>
          <t>28.434327</t>
        </is>
      </c>
      <c r="E94" t="inlineStr">
        <is>
          <t>129.646472</t>
        </is>
      </c>
      <c r="F94" t="inlineStr">
        <is>
          <t>正保琉球国絵図写</t>
        </is>
      </c>
      <c r="G94" t="inlineStr"/>
      <c r="H94" t="inlineStr"/>
      <c r="I94" t="inlineStr">
        <is>
          <t>19</t>
        </is>
      </c>
      <c r="J94" t="inlineStr"/>
      <c r="K94" t="inlineStr">
        <is>
          <t>鹿児島県奄美市笠利町大字喜瀬</t>
        </is>
      </c>
      <c r="L94" s="1">
        <f>HYPERLINK("https://www.hi.u-tokyo.ac.jp/collection/degitalgallary/ryukyu/item/10093", "https://www.hi.u-tokyo.ac.jp/collection/degitalgallary/ryukyu/item/10093")</f>
        <v/>
      </c>
    </row>
    <row r="95">
      <c r="A95" t="inlineStr">
        <is>
          <t>10094</t>
        </is>
      </c>
      <c r="B95" t="inlineStr">
        <is>
          <t>ひんなふ崎</t>
        </is>
      </c>
      <c r="C95" t="inlineStr">
        <is>
          <t>崎</t>
        </is>
      </c>
      <c r="D95" t="inlineStr">
        <is>
          <t>28.468028</t>
        </is>
      </c>
      <c r="E95" t="inlineStr">
        <is>
          <t>129.648093</t>
        </is>
      </c>
      <c r="F95" t="inlineStr">
        <is>
          <t>正保琉球国絵図写</t>
        </is>
      </c>
      <c r="G95" t="inlineStr"/>
      <c r="H95" t="inlineStr"/>
      <c r="I95" t="inlineStr">
        <is>
          <t>20</t>
        </is>
      </c>
      <c r="J95" t="inlineStr"/>
      <c r="K95" t="inlineStr">
        <is>
          <t>鹿児島県奄美市笠利町大字喜瀬</t>
        </is>
      </c>
      <c r="L95" s="1">
        <f>HYPERLINK("https://www.hi.u-tokyo.ac.jp/collection/degitalgallary/ryukyu/item/10094", "https://www.hi.u-tokyo.ac.jp/collection/degitalgallary/ryukyu/item/10094")</f>
        <v/>
      </c>
    </row>
    <row r="96">
      <c r="A96" t="inlineStr">
        <is>
          <t>10095</t>
        </is>
      </c>
      <c r="B96" t="inlineStr">
        <is>
          <t>立神</t>
        </is>
      </c>
      <c r="C96" t="inlineStr">
        <is>
          <t>その他</t>
        </is>
      </c>
      <c r="D96" t="inlineStr">
        <is>
          <t>28.4718481</t>
        </is>
      </c>
      <c r="E96" t="inlineStr">
        <is>
          <t>129.6493983</t>
        </is>
      </c>
      <c r="F96" t="inlineStr">
        <is>
          <t>正保琉球国絵図写</t>
        </is>
      </c>
      <c r="G96" t="inlineStr"/>
      <c r="H96" t="inlineStr"/>
      <c r="I96" t="inlineStr">
        <is>
          <t>21</t>
        </is>
      </c>
      <c r="J96" t="inlineStr"/>
      <c r="K96" t="inlineStr">
        <is>
          <t>鹿児島県奄美市笠利町大字喜瀬</t>
        </is>
      </c>
      <c r="L96" s="1">
        <f>HYPERLINK("https://www.hi.u-tokyo.ac.jp/collection/degitalgallary/ryukyu/item/10095", "https://www.hi.u-tokyo.ac.jp/collection/degitalgallary/ryukyu/item/10095")</f>
        <v/>
      </c>
    </row>
    <row r="97">
      <c r="A97" t="inlineStr">
        <is>
          <t>10096</t>
        </is>
      </c>
      <c r="B97" t="inlineStr">
        <is>
          <t>つしろ崎</t>
        </is>
      </c>
      <c r="C97" t="inlineStr">
        <is>
          <t>崎</t>
        </is>
      </c>
      <c r="D97" t="inlineStr">
        <is>
          <t>28.4417395</t>
        </is>
      </c>
      <c r="E97" t="inlineStr">
        <is>
          <t>129.6675086</t>
        </is>
      </c>
      <c r="F97" t="inlineStr">
        <is>
          <t>正保琉球国絵図写</t>
        </is>
      </c>
      <c r="G97" t="inlineStr"/>
      <c r="H97" t="inlineStr"/>
      <c r="I97" t="inlineStr">
        <is>
          <t>22</t>
        </is>
      </c>
      <c r="J97" t="inlineStr"/>
      <c r="K97" t="inlineStr">
        <is>
          <t>鹿児島県奄美市笠利町大字手花部</t>
        </is>
      </c>
      <c r="L97" s="1">
        <f>HYPERLINK("https://www.hi.u-tokyo.ac.jp/collection/degitalgallary/ryukyu/item/10096", "https://www.hi.u-tokyo.ac.jp/collection/degitalgallary/ryukyu/item/10096")</f>
        <v/>
      </c>
    </row>
    <row r="98">
      <c r="A98" t="inlineStr">
        <is>
          <t>10097</t>
        </is>
      </c>
      <c r="B98" t="inlineStr">
        <is>
          <t>あかきな村大道より笠利間切大道迄、壱里廿三町</t>
        </is>
      </c>
      <c r="C98" t="inlineStr">
        <is>
          <t>陸路</t>
        </is>
      </c>
      <c r="D98" t="inlineStr"/>
      <c r="E98" t="inlineStr"/>
      <c r="F98" t="inlineStr">
        <is>
          <t>正保琉球国絵図写</t>
        </is>
      </c>
      <c r="G98" t="inlineStr"/>
      <c r="H98" t="inlineStr"/>
      <c r="I98" t="inlineStr">
        <is>
          <t>23</t>
        </is>
      </c>
      <c r="J98" t="inlineStr"/>
      <c r="K98" t="inlineStr"/>
      <c r="L98" s="1">
        <f>HYPERLINK("https://www.hi.u-tokyo.ac.jp/collection/degitalgallary/ryukyu/item/10097", "https://www.hi.u-tokyo.ac.jp/collection/degitalgallary/ryukyu/item/10097")</f>
        <v/>
      </c>
    </row>
    <row r="99">
      <c r="A99" t="inlineStr">
        <is>
          <t>10098</t>
        </is>
      </c>
      <c r="B99" t="inlineStr">
        <is>
          <t>高嶽</t>
        </is>
      </c>
      <c r="C99" t="inlineStr">
        <is>
          <t>山</t>
        </is>
      </c>
      <c r="D99" t="inlineStr">
        <is>
          <t>28.471358</t>
        </is>
      </c>
      <c r="E99" t="inlineStr">
        <is>
          <t>129.685412</t>
        </is>
      </c>
      <c r="F99" t="inlineStr">
        <is>
          <t>正保琉球国絵図写</t>
        </is>
      </c>
      <c r="G99" t="inlineStr"/>
      <c r="H99" t="inlineStr"/>
      <c r="I99" t="inlineStr">
        <is>
          <t>24</t>
        </is>
      </c>
      <c r="J99" t="inlineStr"/>
      <c r="K99" t="inlineStr">
        <is>
          <t>鹿児島県奄美市笠利町大字川上</t>
        </is>
      </c>
      <c r="L99" s="1">
        <f>HYPERLINK("https://www.hi.u-tokyo.ac.jp/collection/degitalgallary/ryukyu/item/10098", "https://www.hi.u-tokyo.ac.jp/collection/degitalgallary/ryukyu/item/10098")</f>
        <v/>
      </c>
    </row>
    <row r="100">
      <c r="A100" t="inlineStr">
        <is>
          <t>10099</t>
        </is>
      </c>
      <c r="B100" t="inlineStr">
        <is>
          <t>おかみ山</t>
        </is>
      </c>
      <c r="C100" t="inlineStr">
        <is>
          <t>山</t>
        </is>
      </c>
      <c r="D100" t="inlineStr"/>
      <c r="E100" t="inlineStr"/>
      <c r="F100" t="inlineStr">
        <is>
          <t>正保琉球国絵図写</t>
        </is>
      </c>
      <c r="G100" t="inlineStr"/>
      <c r="H100" t="inlineStr"/>
      <c r="I100" t="inlineStr">
        <is>
          <t>25</t>
        </is>
      </c>
      <c r="J100" t="inlineStr"/>
      <c r="K100" t="inlineStr"/>
      <c r="L100" s="1">
        <f>HYPERLINK("https://www.hi.u-tokyo.ac.jp/collection/degitalgallary/ryukyu/item/10099", "https://www.hi.u-tokyo.ac.jp/collection/degitalgallary/ryukyu/item/10099")</f>
        <v/>
      </c>
    </row>
    <row r="101">
      <c r="A101" t="inlineStr">
        <is>
          <t>10100</t>
        </is>
      </c>
      <c r="B101" t="inlineStr">
        <is>
          <t>かまふ崎</t>
        </is>
      </c>
      <c r="C101" t="inlineStr">
        <is>
          <t>崎</t>
        </is>
      </c>
      <c r="D101" t="inlineStr">
        <is>
          <t>28.499335</t>
        </is>
      </c>
      <c r="E101" t="inlineStr">
        <is>
          <t>129.649966</t>
        </is>
      </c>
      <c r="F101" t="inlineStr">
        <is>
          <t>正保琉球国絵図写</t>
        </is>
      </c>
      <c r="G101" t="inlineStr"/>
      <c r="H101" t="inlineStr"/>
      <c r="I101" t="inlineStr">
        <is>
          <t>26</t>
        </is>
      </c>
      <c r="J101" t="inlineStr"/>
      <c r="K101" t="inlineStr">
        <is>
          <t>鹿児島県奄美市笠利町大字屋仁</t>
        </is>
      </c>
      <c r="L101" s="1">
        <f>HYPERLINK("https://www.hi.u-tokyo.ac.jp/collection/degitalgallary/ryukyu/item/10100", "https://www.hi.u-tokyo.ac.jp/collection/degitalgallary/ryukyu/item/10100")</f>
        <v/>
      </c>
    </row>
    <row r="102">
      <c r="A102" t="inlineStr">
        <is>
          <t>10101</t>
        </is>
      </c>
      <c r="B102" t="inlineStr">
        <is>
          <t>大船出入なし</t>
        </is>
      </c>
      <c r="C102" t="inlineStr">
        <is>
          <t>港湾</t>
        </is>
      </c>
      <c r="D102" t="inlineStr"/>
      <c r="E102" t="inlineStr"/>
      <c r="F102" t="inlineStr">
        <is>
          <t>正保琉球国絵図写</t>
        </is>
      </c>
      <c r="G102" t="inlineStr"/>
      <c r="H102" t="inlineStr"/>
      <c r="I102" t="inlineStr">
        <is>
          <t>27</t>
        </is>
      </c>
      <c r="J102" t="inlineStr"/>
      <c r="K102" t="inlineStr"/>
      <c r="L102" s="1">
        <f>HYPERLINK("https://www.hi.u-tokyo.ac.jp/collection/degitalgallary/ryukyu/item/10101", "https://www.hi.u-tokyo.ac.jp/collection/degitalgallary/ryukyu/item/10101")</f>
        <v/>
      </c>
    </row>
    <row r="103">
      <c r="A103" t="inlineStr">
        <is>
          <t>10102</t>
        </is>
      </c>
      <c r="B103" t="inlineStr">
        <is>
          <t>かさり崎</t>
        </is>
      </c>
      <c r="C103" t="inlineStr">
        <is>
          <t>崎</t>
        </is>
      </c>
      <c r="D103" t="inlineStr">
        <is>
          <t>28.5294998</t>
        </is>
      </c>
      <c r="E103" t="inlineStr">
        <is>
          <t>129.6892235</t>
        </is>
      </c>
      <c r="F103" t="inlineStr">
        <is>
          <t>正保琉球国絵図写</t>
        </is>
      </c>
      <c r="G103" t="inlineStr"/>
      <c r="H103" t="inlineStr"/>
      <c r="I103" t="inlineStr">
        <is>
          <t>28</t>
        </is>
      </c>
      <c r="J103" t="inlineStr"/>
      <c r="K103" t="inlineStr">
        <is>
          <t>鹿児島県奄美市笠利町大字用</t>
        </is>
      </c>
      <c r="L103" s="1">
        <f>HYPERLINK("https://www.hi.u-tokyo.ac.jp/collection/degitalgallary/ryukyu/item/10102", "https://www.hi.u-tokyo.ac.jp/collection/degitalgallary/ryukyu/item/10102")</f>
        <v/>
      </c>
    </row>
    <row r="104">
      <c r="A104" t="inlineStr">
        <is>
          <t>10103</t>
        </is>
      </c>
      <c r="B104" t="inlineStr">
        <is>
          <t>たいもら</t>
        </is>
      </c>
      <c r="C104" t="inlineStr">
        <is>
          <t>干瀬</t>
        </is>
      </c>
      <c r="D104" t="inlineStr">
        <is>
          <t>28.758597</t>
        </is>
      </c>
      <c r="E104" t="inlineStr">
        <is>
          <t>129.778270</t>
        </is>
      </c>
      <c r="F104" t="inlineStr">
        <is>
          <t>正保琉球国絵図写</t>
        </is>
      </c>
      <c r="G104" t="inlineStr"/>
      <c r="H104" t="inlineStr"/>
      <c r="I104" t="inlineStr">
        <is>
          <t>29</t>
        </is>
      </c>
      <c r="J104" t="inlineStr"/>
      <c r="K104" t="inlineStr"/>
      <c r="L104" s="1">
        <f>HYPERLINK("https://www.hi.u-tokyo.ac.jp/collection/degitalgallary/ryukyu/item/10103", "https://www.hi.u-tokyo.ac.jp/collection/degitalgallary/ryukyu/item/10103")</f>
        <v/>
      </c>
    </row>
    <row r="105">
      <c r="A105" t="inlineStr">
        <is>
          <t>10104</t>
        </is>
      </c>
      <c r="B105" t="inlineStr">
        <is>
          <t>とのはら</t>
        </is>
      </c>
      <c r="C105" t="inlineStr">
        <is>
          <t>干瀬</t>
        </is>
      </c>
      <c r="D105" t="inlineStr">
        <is>
          <t>28.546604</t>
        </is>
      </c>
      <c r="E105" t="inlineStr">
        <is>
          <t>129.721584</t>
        </is>
      </c>
      <c r="F105" t="inlineStr">
        <is>
          <t>正保琉球国絵図写</t>
        </is>
      </c>
      <c r="G105" t="inlineStr"/>
      <c r="H105" t="inlineStr"/>
      <c r="I105" t="inlineStr">
        <is>
          <t>30</t>
        </is>
      </c>
      <c r="J105" t="inlineStr"/>
      <c r="K105" t="inlineStr"/>
      <c r="L105" s="1">
        <f>HYPERLINK("https://www.hi.u-tokyo.ac.jp/collection/degitalgallary/ryukyu/item/10104", "https://www.hi.u-tokyo.ac.jp/collection/degitalgallary/ryukyu/item/10104")</f>
        <v/>
      </c>
    </row>
    <row r="106">
      <c r="A106" t="inlineStr">
        <is>
          <t>10105</t>
        </is>
      </c>
      <c r="B106" t="inlineStr">
        <is>
          <t>平瀬</t>
        </is>
      </c>
      <c r="C106" t="inlineStr">
        <is>
          <t>干瀬</t>
        </is>
      </c>
      <c r="D106" t="inlineStr">
        <is>
          <t>28.531524</t>
        </is>
      </c>
      <c r="E106" t="inlineStr">
        <is>
          <t>129.719353</t>
        </is>
      </c>
      <c r="F106" t="inlineStr">
        <is>
          <t>正保琉球国絵図写</t>
        </is>
      </c>
      <c r="G106" t="inlineStr"/>
      <c r="H106" t="inlineStr"/>
      <c r="I106" t="inlineStr">
        <is>
          <t>31</t>
        </is>
      </c>
      <c r="J106" t="inlineStr"/>
      <c r="K106" t="inlineStr"/>
      <c r="L106" s="1">
        <f>HYPERLINK("https://www.hi.u-tokyo.ac.jp/collection/degitalgallary/ryukyu/item/10105", "https://www.hi.u-tokyo.ac.jp/collection/degitalgallary/ryukyu/item/10105")</f>
        <v/>
      </c>
    </row>
    <row r="107">
      <c r="A107" t="inlineStr">
        <is>
          <t>10106</t>
        </is>
      </c>
      <c r="B107" t="inlineStr">
        <is>
          <t>つい瀬</t>
        </is>
      </c>
      <c r="C107" t="inlineStr">
        <is>
          <t>干瀬</t>
        </is>
      </c>
      <c r="D107" t="inlineStr">
        <is>
          <t>28.507322</t>
        </is>
      </c>
      <c r="E107" t="inlineStr">
        <is>
          <t>129.691975</t>
        </is>
      </c>
      <c r="F107" t="inlineStr">
        <is>
          <t>正保琉球国絵図写</t>
        </is>
      </c>
      <c r="G107" t="inlineStr"/>
      <c r="H107" t="inlineStr"/>
      <c r="I107" t="inlineStr">
        <is>
          <t>32</t>
        </is>
      </c>
      <c r="J107" t="inlineStr"/>
      <c r="K107" t="inlineStr">
        <is>
          <t>鹿児島県奄美市笠利町大字用</t>
        </is>
      </c>
      <c r="L107" s="1">
        <f>HYPERLINK("https://www.hi.u-tokyo.ac.jp/collection/degitalgallary/ryukyu/item/10106", "https://www.hi.u-tokyo.ac.jp/collection/degitalgallary/ryukyu/item/10106")</f>
        <v/>
      </c>
    </row>
    <row r="108">
      <c r="A108" t="inlineStr">
        <is>
          <t>10107</t>
        </is>
      </c>
      <c r="B108" t="inlineStr">
        <is>
          <t>大瀬</t>
        </is>
      </c>
      <c r="C108" t="inlineStr">
        <is>
          <t>干瀬</t>
        </is>
      </c>
      <c r="D108" t="inlineStr"/>
      <c r="E108" t="inlineStr"/>
      <c r="F108" t="inlineStr">
        <is>
          <t>正保琉球国絵図写</t>
        </is>
      </c>
      <c r="G108" t="inlineStr"/>
      <c r="H108" t="inlineStr"/>
      <c r="I108" t="inlineStr">
        <is>
          <t>33</t>
        </is>
      </c>
      <c r="J108" t="inlineStr"/>
      <c r="K108" t="inlineStr"/>
      <c r="L108" s="1">
        <f>HYPERLINK("https://www.hi.u-tokyo.ac.jp/collection/degitalgallary/ryukyu/item/10107", "https://www.hi.u-tokyo.ac.jp/collection/degitalgallary/ryukyu/item/10107")</f>
        <v/>
      </c>
    </row>
    <row r="109">
      <c r="A109" t="inlineStr">
        <is>
          <t>10108</t>
        </is>
      </c>
      <c r="B109" t="inlineStr">
        <is>
          <t>もとぐの崎</t>
        </is>
      </c>
      <c r="C109" t="inlineStr">
        <is>
          <t>崎</t>
        </is>
      </c>
      <c r="D109" t="inlineStr">
        <is>
          <t>28.473019</t>
        </is>
      </c>
      <c r="E109" t="inlineStr">
        <is>
          <t>129.7164337</t>
        </is>
      </c>
      <c r="F109" t="inlineStr">
        <is>
          <t>正保琉球国絵図写</t>
        </is>
      </c>
      <c r="G109" t="inlineStr"/>
      <c r="H109" t="inlineStr"/>
      <c r="I109" t="inlineStr">
        <is>
          <t>34</t>
        </is>
      </c>
      <c r="J109" t="inlineStr"/>
      <c r="K109" t="inlineStr">
        <is>
          <t>鹿児島県奄美市笠利町大字須野</t>
        </is>
      </c>
      <c r="L109" s="1">
        <f>HYPERLINK("https://www.hi.u-tokyo.ac.jp/collection/degitalgallary/ryukyu/item/10108", "https://www.hi.u-tokyo.ac.jp/collection/degitalgallary/ryukyu/item/10108")</f>
        <v/>
      </c>
    </row>
    <row r="110">
      <c r="A110" t="inlineStr">
        <is>
          <t>10109</t>
        </is>
      </c>
      <c r="B110" t="inlineStr">
        <is>
          <t>丸瀬</t>
        </is>
      </c>
      <c r="C110" t="inlineStr">
        <is>
          <t>干瀬</t>
        </is>
      </c>
      <c r="D110" t="inlineStr">
        <is>
          <t>28.4639364</t>
        </is>
      </c>
      <c r="E110" t="inlineStr">
        <is>
          <t>129.7253306</t>
        </is>
      </c>
      <c r="F110" t="inlineStr">
        <is>
          <t>正保琉球国絵図写</t>
        </is>
      </c>
      <c r="G110" t="inlineStr"/>
      <c r="H110" t="inlineStr"/>
      <c r="I110" t="inlineStr">
        <is>
          <t>35</t>
        </is>
      </c>
      <c r="J110" t="inlineStr"/>
      <c r="K110" t="inlineStr">
        <is>
          <t>鹿児島県奄美市笠利町大字宇宿</t>
        </is>
      </c>
      <c r="L110" s="1">
        <f>HYPERLINK("https://www.hi.u-tokyo.ac.jp/collection/degitalgallary/ryukyu/item/10109", "https://www.hi.u-tokyo.ac.jp/collection/degitalgallary/ryukyu/item/10109")</f>
        <v/>
      </c>
    </row>
    <row r="111">
      <c r="A111" t="inlineStr">
        <is>
          <t>10110</t>
        </is>
      </c>
      <c r="B111" t="inlineStr">
        <is>
          <t>あたこ崎</t>
        </is>
      </c>
      <c r="C111" t="inlineStr">
        <is>
          <t>崎</t>
        </is>
      </c>
      <c r="D111" t="inlineStr"/>
      <c r="E111" t="inlineStr"/>
      <c r="F111" t="inlineStr">
        <is>
          <t>正保琉球国絵図写</t>
        </is>
      </c>
      <c r="G111" t="inlineStr"/>
      <c r="H111" t="inlineStr"/>
      <c r="I111" t="inlineStr">
        <is>
          <t>36</t>
        </is>
      </c>
      <c r="J111" t="inlineStr"/>
      <c r="K111" t="inlineStr"/>
      <c r="L111" s="1">
        <f>HYPERLINK("https://www.hi.u-tokyo.ac.jp/collection/degitalgallary/ryukyu/item/10110", "https://www.hi.u-tokyo.ac.jp/collection/degitalgallary/ryukyu/item/10110")</f>
        <v/>
      </c>
    </row>
    <row r="112">
      <c r="A112" t="inlineStr">
        <is>
          <t>10111</t>
        </is>
      </c>
      <c r="B112" t="inlineStr">
        <is>
          <t>すざん
地より三十町沖ニ有、満汐ニハ不見得</t>
        </is>
      </c>
      <c r="C112" t="inlineStr">
        <is>
          <t>干瀬</t>
        </is>
      </c>
      <c r="D112" t="inlineStr"/>
      <c r="E112" t="inlineStr"/>
      <c r="F112" t="inlineStr">
        <is>
          <t>正保琉球国絵図写</t>
        </is>
      </c>
      <c r="G112" t="inlineStr"/>
      <c r="H112" t="inlineStr"/>
      <c r="I112" t="inlineStr">
        <is>
          <t>37・38</t>
        </is>
      </c>
      <c r="J112" t="inlineStr"/>
      <c r="K112" t="inlineStr"/>
      <c r="L112" s="1">
        <f>HYPERLINK("https://www.hi.u-tokyo.ac.jp/collection/degitalgallary/ryukyu/item/10111", "https://www.hi.u-tokyo.ac.jp/collection/degitalgallary/ryukyu/item/10111")</f>
        <v/>
      </c>
    </row>
    <row r="113">
      <c r="A113" t="inlineStr">
        <is>
          <t>10112</t>
        </is>
      </c>
      <c r="B113" t="inlineStr">
        <is>
          <t>くろ瀬</t>
        </is>
      </c>
      <c r="C113" t="inlineStr">
        <is>
          <t>干瀬</t>
        </is>
      </c>
      <c r="D113" t="inlineStr"/>
      <c r="E113" t="inlineStr"/>
      <c r="F113" t="inlineStr">
        <is>
          <t>正保琉球国絵図写</t>
        </is>
      </c>
      <c r="G113" t="inlineStr"/>
      <c r="H113" t="inlineStr"/>
      <c r="I113" t="inlineStr">
        <is>
          <t>39</t>
        </is>
      </c>
      <c r="J113" t="inlineStr"/>
      <c r="K113" t="inlineStr"/>
      <c r="L113" s="1">
        <f>HYPERLINK("https://www.hi.u-tokyo.ac.jp/collection/degitalgallary/ryukyu/item/10112", "https://www.hi.u-tokyo.ac.jp/collection/degitalgallary/ryukyu/item/10112")</f>
        <v/>
      </c>
    </row>
    <row r="114">
      <c r="A114" t="inlineStr">
        <is>
          <t>10113</t>
        </is>
      </c>
      <c r="B114" t="inlineStr">
        <is>
          <t>わの大瀬</t>
        </is>
      </c>
      <c r="C114" t="inlineStr">
        <is>
          <t>干瀬</t>
        </is>
      </c>
      <c r="D114" t="inlineStr">
        <is>
          <t>28.427452</t>
        </is>
      </c>
      <c r="E114" t="inlineStr">
        <is>
          <t>129.706495</t>
        </is>
      </c>
      <c r="F114" t="inlineStr">
        <is>
          <t>正保琉球国絵図写</t>
        </is>
      </c>
      <c r="G114" t="inlineStr"/>
      <c r="H114" t="inlineStr"/>
      <c r="I114" t="inlineStr">
        <is>
          <t>40</t>
        </is>
      </c>
      <c r="J114" t="inlineStr"/>
      <c r="K114" t="inlineStr">
        <is>
          <t>鹿児島県奄美市笠利町大字和野</t>
        </is>
      </c>
      <c r="L114" s="1">
        <f>HYPERLINK("https://www.hi.u-tokyo.ac.jp/collection/degitalgallary/ryukyu/item/10113", "https://www.hi.u-tokyo.ac.jp/collection/degitalgallary/ryukyu/item/10113")</f>
        <v/>
      </c>
    </row>
    <row r="115">
      <c r="A115" t="inlineStr">
        <is>
          <t>10114</t>
        </is>
      </c>
      <c r="B115" t="inlineStr">
        <is>
          <t>せつたよりふかいか浦湊迄、海上八里</t>
        </is>
      </c>
      <c r="C115" t="inlineStr">
        <is>
          <t>航路</t>
        </is>
      </c>
      <c r="D115" t="inlineStr"/>
      <c r="E115" t="inlineStr"/>
      <c r="F115" t="inlineStr">
        <is>
          <t>正保琉球国絵図写</t>
        </is>
      </c>
      <c r="G115" t="inlineStr"/>
      <c r="H115" t="inlineStr"/>
      <c r="I115" t="inlineStr">
        <is>
          <t>41</t>
        </is>
      </c>
      <c r="J115" t="inlineStr"/>
      <c r="K115" t="inlineStr"/>
      <c r="L115" s="1">
        <f>HYPERLINK("https://www.hi.u-tokyo.ac.jp/collection/degitalgallary/ryukyu/item/10114", "https://www.hi.u-tokyo.ac.jp/collection/degitalgallary/ryukyu/item/10114")</f>
        <v/>
      </c>
    </row>
    <row r="116">
      <c r="A116" t="inlineStr">
        <is>
          <t>10115</t>
        </is>
      </c>
      <c r="B116" t="inlineStr">
        <is>
          <t>あまみ嶽</t>
        </is>
      </c>
      <c r="C116" t="inlineStr">
        <is>
          <t>山</t>
        </is>
      </c>
      <c r="D116" t="inlineStr">
        <is>
          <t>28.432159</t>
        </is>
      </c>
      <c r="E116" t="inlineStr">
        <is>
          <t>129.6875555</t>
        </is>
      </c>
      <c r="F116" t="inlineStr">
        <is>
          <t>正保琉球国絵図写</t>
        </is>
      </c>
      <c r="G116" t="inlineStr"/>
      <c r="H116" t="inlineStr"/>
      <c r="I116" t="inlineStr">
        <is>
          <t>42</t>
        </is>
      </c>
      <c r="J116" t="inlineStr"/>
      <c r="K116" t="inlineStr">
        <is>
          <t>鹿児島県奄美市笠利町大字平</t>
        </is>
      </c>
      <c r="L116" s="1">
        <f>HYPERLINK("https://www.hi.u-tokyo.ac.jp/collection/degitalgallary/ryukyu/item/10115", "https://www.hi.u-tokyo.ac.jp/collection/degitalgallary/ryukyu/item/10115")</f>
        <v/>
      </c>
    </row>
    <row r="117">
      <c r="A117" t="inlineStr">
        <is>
          <t>10116</t>
        </is>
      </c>
      <c r="B117" t="inlineStr">
        <is>
          <t>七ツ嶽</t>
        </is>
      </c>
      <c r="C117" t="inlineStr">
        <is>
          <t>山</t>
        </is>
      </c>
      <c r="D117" t="inlineStr"/>
      <c r="E117" t="inlineStr"/>
      <c r="F117" t="inlineStr">
        <is>
          <t>正保琉球国絵図写</t>
        </is>
      </c>
      <c r="G117" t="inlineStr"/>
      <c r="H117" t="inlineStr"/>
      <c r="I117" t="inlineStr">
        <is>
          <t>43</t>
        </is>
      </c>
      <c r="J117" t="inlineStr"/>
      <c r="K117" t="inlineStr"/>
      <c r="L117" s="1">
        <f>HYPERLINK("https://www.hi.u-tokyo.ac.jp/collection/degitalgallary/ryukyu/item/10116", "https://www.hi.u-tokyo.ac.jp/collection/degitalgallary/ryukyu/item/10116")</f>
        <v/>
      </c>
    </row>
    <row r="118">
      <c r="A118" t="inlineStr">
        <is>
          <t>10117</t>
        </is>
      </c>
      <c r="B118" t="inlineStr">
        <is>
          <t>赤セミの浜</t>
        </is>
      </c>
      <c r="C118" t="inlineStr">
        <is>
          <t>その他</t>
        </is>
      </c>
      <c r="D118" t="inlineStr"/>
      <c r="E118" t="inlineStr"/>
      <c r="F118" t="inlineStr">
        <is>
          <t>正保琉球国絵図写</t>
        </is>
      </c>
      <c r="G118" t="inlineStr"/>
      <c r="H118" t="inlineStr"/>
      <c r="I118" t="inlineStr">
        <is>
          <t>44</t>
        </is>
      </c>
      <c r="J118" t="inlineStr"/>
      <c r="K118" t="inlineStr"/>
      <c r="L118" s="1">
        <f>HYPERLINK("https://www.hi.u-tokyo.ac.jp/collection/degitalgallary/ryukyu/item/10117", "https://www.hi.u-tokyo.ac.jp/collection/degitalgallary/ryukyu/item/10117")</f>
        <v/>
      </c>
    </row>
    <row r="119">
      <c r="A119" t="inlineStr">
        <is>
          <t>10118</t>
        </is>
      </c>
      <c r="B119" t="inlineStr">
        <is>
          <t>此うら水底惣岩ニテ、船繋り不自由</t>
        </is>
      </c>
      <c r="C119" t="inlineStr">
        <is>
          <t>港湾</t>
        </is>
      </c>
      <c r="D119" t="inlineStr"/>
      <c r="E119" t="inlineStr"/>
      <c r="F119" t="inlineStr">
        <is>
          <t>正保琉球国絵図写</t>
        </is>
      </c>
      <c r="G119" t="inlineStr"/>
      <c r="H119" t="inlineStr"/>
      <c r="I119" t="inlineStr">
        <is>
          <t>45</t>
        </is>
      </c>
      <c r="J119" t="inlineStr"/>
      <c r="K119" t="inlineStr"/>
      <c r="L119" s="1">
        <f>HYPERLINK("https://www.hi.u-tokyo.ac.jp/collection/degitalgallary/ryukyu/item/10118", "https://www.hi.u-tokyo.ac.jp/collection/degitalgallary/ryukyu/item/10118")</f>
        <v/>
      </c>
    </row>
    <row r="120">
      <c r="A120" t="inlineStr">
        <is>
          <t>10119</t>
        </is>
      </c>
      <c r="B120" t="inlineStr">
        <is>
          <t>満崎</t>
        </is>
      </c>
      <c r="C120" t="inlineStr">
        <is>
          <t>崎</t>
        </is>
      </c>
      <c r="D120" t="inlineStr"/>
      <c r="E120" t="inlineStr"/>
      <c r="F120" t="inlineStr">
        <is>
          <t>正保琉球国絵図写</t>
        </is>
      </c>
      <c r="G120" t="inlineStr"/>
      <c r="H120" t="inlineStr"/>
      <c r="I120" t="inlineStr">
        <is>
          <t>46</t>
        </is>
      </c>
      <c r="J120" t="inlineStr"/>
      <c r="K120" t="inlineStr"/>
      <c r="L120" s="1">
        <f>HYPERLINK("https://www.hi.u-tokyo.ac.jp/collection/degitalgallary/ryukyu/item/10119", "https://www.hi.u-tokyo.ac.jp/collection/degitalgallary/ryukyu/item/10119")</f>
        <v/>
      </c>
    </row>
    <row r="121">
      <c r="A121" t="inlineStr">
        <is>
          <t>10120</t>
        </is>
      </c>
      <c r="B121" t="inlineStr">
        <is>
          <t>せつたより鬼界嶋わん泊迄、海上七里辰之方ニ当ル</t>
        </is>
      </c>
      <c r="C121" t="inlineStr">
        <is>
          <t>航路</t>
        </is>
      </c>
      <c r="D121" t="inlineStr"/>
      <c r="E121" t="inlineStr"/>
      <c r="F121" t="inlineStr">
        <is>
          <t>正保琉球国絵図写</t>
        </is>
      </c>
      <c r="G121" t="inlineStr"/>
      <c r="H121" t="inlineStr"/>
      <c r="I121" t="inlineStr">
        <is>
          <t>47</t>
        </is>
      </c>
      <c r="J121" t="inlineStr"/>
      <c r="K121" t="inlineStr"/>
      <c r="L121" s="1">
        <f>HYPERLINK("https://www.hi.u-tokyo.ac.jp/collection/degitalgallary/ryukyu/item/10120", "https://www.hi.u-tokyo.ac.jp/collection/degitalgallary/ryukyu/item/10120")</f>
        <v/>
      </c>
    </row>
    <row r="122">
      <c r="A122" t="inlineStr">
        <is>
          <t>10121</t>
        </is>
      </c>
      <c r="B122" t="inlineStr">
        <is>
          <t>おかみ山</t>
        </is>
      </c>
      <c r="C122" t="inlineStr">
        <is>
          <t>山</t>
        </is>
      </c>
      <c r="D122" t="inlineStr"/>
      <c r="E122" t="inlineStr"/>
      <c r="F122" t="inlineStr">
        <is>
          <t>正保琉球国絵図写</t>
        </is>
      </c>
      <c r="G122" t="inlineStr"/>
      <c r="H122" t="inlineStr"/>
      <c r="I122" t="inlineStr">
        <is>
          <t>48</t>
        </is>
      </c>
      <c r="J122" t="inlineStr"/>
      <c r="K122" t="inlineStr"/>
      <c r="L122" s="1">
        <f>HYPERLINK("https://www.hi.u-tokyo.ac.jp/collection/degitalgallary/ryukyu/item/10121", "https://www.hi.u-tokyo.ac.jp/collection/degitalgallary/ryukyu/item/10121")</f>
        <v/>
      </c>
    </row>
    <row r="123">
      <c r="A123" t="inlineStr">
        <is>
          <t>10122</t>
        </is>
      </c>
      <c r="B123" t="inlineStr">
        <is>
          <t>かめ山の崎</t>
        </is>
      </c>
      <c r="C123" t="inlineStr">
        <is>
          <t>崎</t>
        </is>
      </c>
      <c r="D123" t="inlineStr">
        <is>
          <t>28.3993024</t>
        </is>
      </c>
      <c r="E123" t="inlineStr">
        <is>
          <t>129.6637016</t>
        </is>
      </c>
      <c r="F123" t="inlineStr">
        <is>
          <t>正保琉球国絵図写</t>
        </is>
      </c>
      <c r="G123" t="inlineStr"/>
      <c r="H123" t="inlineStr"/>
      <c r="I123" t="inlineStr">
        <is>
          <t>49</t>
        </is>
      </c>
      <c r="J123" t="inlineStr"/>
      <c r="K123" t="inlineStr">
        <is>
          <t>鹿児島県奄美市笠利町大字用安</t>
        </is>
      </c>
      <c r="L123" s="1">
        <f>HYPERLINK("https://www.hi.u-tokyo.ac.jp/collection/degitalgallary/ryukyu/item/10122", "https://www.hi.u-tokyo.ac.jp/collection/degitalgallary/ryukyu/item/10122")</f>
        <v/>
      </c>
    </row>
    <row r="124">
      <c r="A124" t="inlineStr">
        <is>
          <t>10123</t>
        </is>
      </c>
      <c r="B124" t="inlineStr">
        <is>
          <t>くろ崎</t>
        </is>
      </c>
      <c r="C124" t="inlineStr">
        <is>
          <t>崎</t>
        </is>
      </c>
      <c r="D124" t="inlineStr"/>
      <c r="E124" t="inlineStr"/>
      <c r="F124" t="inlineStr">
        <is>
          <t>正保琉球国絵図写</t>
        </is>
      </c>
      <c r="G124" t="inlineStr"/>
      <c r="H124" t="inlineStr"/>
      <c r="I124" t="inlineStr">
        <is>
          <t>50</t>
        </is>
      </c>
      <c r="J124" t="inlineStr"/>
      <c r="K124" t="inlineStr"/>
      <c r="L124" s="1">
        <f>HYPERLINK("https://www.hi.u-tokyo.ac.jp/collection/degitalgallary/ryukyu/item/10123", "https://www.hi.u-tokyo.ac.jp/collection/degitalgallary/ryukyu/item/10123")</f>
        <v/>
      </c>
    </row>
    <row r="125">
      <c r="A125" t="inlineStr">
        <is>
          <t>10124</t>
        </is>
      </c>
      <c r="B125" t="inlineStr">
        <is>
          <t>白浜</t>
        </is>
      </c>
      <c r="C125" t="inlineStr">
        <is>
          <t>その他</t>
        </is>
      </c>
      <c r="D125" t="inlineStr"/>
      <c r="E125" t="inlineStr"/>
      <c r="F125" t="inlineStr">
        <is>
          <t>正保琉球国絵図写</t>
        </is>
      </c>
      <c r="G125" t="inlineStr"/>
      <c r="H125" t="inlineStr"/>
      <c r="I125" t="inlineStr">
        <is>
          <t>51</t>
        </is>
      </c>
      <c r="J125" t="inlineStr"/>
      <c r="K125" t="inlineStr"/>
      <c r="L125" s="1">
        <f>HYPERLINK("https://www.hi.u-tokyo.ac.jp/collection/degitalgallary/ryukyu/item/10124", "https://www.hi.u-tokyo.ac.jp/collection/degitalgallary/ryukyu/item/10124")</f>
        <v/>
      </c>
    </row>
    <row r="126">
      <c r="A126" t="inlineStr">
        <is>
          <t>10125</t>
        </is>
      </c>
      <c r="B126" t="inlineStr">
        <is>
          <t>立神</t>
        </is>
      </c>
      <c r="C126" t="inlineStr">
        <is>
          <t>その他</t>
        </is>
      </c>
      <c r="D126" t="inlineStr"/>
      <c r="E126" t="inlineStr"/>
      <c r="F126" t="inlineStr">
        <is>
          <t>正保琉球国絵図写</t>
        </is>
      </c>
      <c r="G126" t="inlineStr"/>
      <c r="H126" t="inlineStr"/>
      <c r="I126" t="inlineStr">
        <is>
          <t>52</t>
        </is>
      </c>
      <c r="J126" t="inlineStr"/>
      <c r="K126" t="inlineStr"/>
      <c r="L126" s="1">
        <f>HYPERLINK("https://www.hi.u-tokyo.ac.jp/collection/degitalgallary/ryukyu/item/10125", "https://www.hi.u-tokyo.ac.jp/collection/degitalgallary/ryukyu/item/10125")</f>
        <v/>
      </c>
    </row>
    <row r="127">
      <c r="A127" t="inlineStr">
        <is>
          <t>10126</t>
        </is>
      </c>
      <c r="B127" t="inlineStr">
        <is>
          <t>浜崎</t>
        </is>
      </c>
      <c r="C127" t="inlineStr">
        <is>
          <t>崎</t>
        </is>
      </c>
      <c r="D127" t="inlineStr"/>
      <c r="E127" t="inlineStr"/>
      <c r="F127" t="inlineStr">
        <is>
          <t>正保琉球国絵図写</t>
        </is>
      </c>
      <c r="G127" t="inlineStr"/>
      <c r="H127" t="inlineStr"/>
      <c r="I127" t="inlineStr">
        <is>
          <t>53</t>
        </is>
      </c>
      <c r="J127" t="inlineStr"/>
      <c r="K127" t="inlineStr"/>
      <c r="L127" s="1">
        <f>HYPERLINK("https://www.hi.u-tokyo.ac.jp/collection/degitalgallary/ryukyu/item/10126", "https://www.hi.u-tokyo.ac.jp/collection/degitalgallary/ryukyu/item/10126")</f>
        <v/>
      </c>
    </row>
    <row r="128">
      <c r="A128" t="inlineStr">
        <is>
          <t>10127</t>
        </is>
      </c>
      <c r="B128" t="inlineStr">
        <is>
          <t>鳥瀬</t>
        </is>
      </c>
      <c r="C128" t="inlineStr">
        <is>
          <t>干瀬</t>
        </is>
      </c>
      <c r="D128" t="inlineStr"/>
      <c r="E128" t="inlineStr"/>
      <c r="F128" t="inlineStr">
        <is>
          <t>正保琉球国絵図写</t>
        </is>
      </c>
      <c r="G128" t="inlineStr"/>
      <c r="H128" t="inlineStr"/>
      <c r="I128" t="inlineStr">
        <is>
          <t>54</t>
        </is>
      </c>
      <c r="J128" t="inlineStr"/>
      <c r="K128" t="inlineStr"/>
      <c r="L128" s="1">
        <f>HYPERLINK("https://www.hi.u-tokyo.ac.jp/collection/degitalgallary/ryukyu/item/10127", "https://www.hi.u-tokyo.ac.jp/collection/degitalgallary/ryukyu/item/10127")</f>
        <v/>
      </c>
    </row>
    <row r="129">
      <c r="A129" t="inlineStr">
        <is>
          <t>10128</t>
        </is>
      </c>
      <c r="B129" t="inlineStr">
        <is>
          <t>大くろ崎</t>
        </is>
      </c>
      <c r="C129" t="inlineStr">
        <is>
          <t>崎</t>
        </is>
      </c>
      <c r="D129" t="inlineStr">
        <is>
          <t>28.4774528</t>
        </is>
      </c>
      <c r="E129" t="inlineStr">
        <is>
          <t>129.6216667</t>
        </is>
      </c>
      <c r="F129" t="inlineStr">
        <is>
          <t>正保琉球国絵図写</t>
        </is>
      </c>
      <c r="G129" t="inlineStr"/>
      <c r="H129" t="inlineStr"/>
      <c r="I129" t="inlineStr">
        <is>
          <t>55</t>
        </is>
      </c>
      <c r="J129" t="inlineStr"/>
      <c r="K129" t="inlineStr">
        <is>
          <t>鹿児島県大島郡龍郷町安木屋場</t>
        </is>
      </c>
      <c r="L129" s="1">
        <f>HYPERLINK("https://www.hi.u-tokyo.ac.jp/collection/degitalgallary/ryukyu/item/10128", "https://www.hi.u-tokyo.ac.jp/collection/degitalgallary/ryukyu/item/10128")</f>
        <v/>
      </c>
    </row>
    <row r="130">
      <c r="A130" t="inlineStr">
        <is>
          <t>10129</t>
        </is>
      </c>
      <c r="B130" t="inlineStr">
        <is>
          <t>立神</t>
        </is>
      </c>
      <c r="C130" t="inlineStr">
        <is>
          <t>その他</t>
        </is>
      </c>
      <c r="D130" t="inlineStr"/>
      <c r="E130" t="inlineStr"/>
      <c r="F130" t="inlineStr">
        <is>
          <t>正保琉球国絵図写</t>
        </is>
      </c>
      <c r="G130" t="inlineStr"/>
      <c r="H130" t="inlineStr"/>
      <c r="I130" t="inlineStr">
        <is>
          <t>56</t>
        </is>
      </c>
      <c r="J130" t="inlineStr"/>
      <c r="K130" t="inlineStr"/>
      <c r="L130" s="1">
        <f>HYPERLINK("https://www.hi.u-tokyo.ac.jp/collection/degitalgallary/ryukyu/item/10129", "https://www.hi.u-tokyo.ac.jp/collection/degitalgallary/ryukyu/item/10129")</f>
        <v/>
      </c>
    </row>
    <row r="131">
      <c r="A131" t="inlineStr">
        <is>
          <t>10130</t>
        </is>
      </c>
      <c r="B131" t="inlineStr">
        <is>
          <t>たん崎</t>
        </is>
      </c>
      <c r="C131" t="inlineStr">
        <is>
          <t>崎</t>
        </is>
      </c>
      <c r="D131" t="inlineStr"/>
      <c r="E131" t="inlineStr"/>
      <c r="F131" t="inlineStr">
        <is>
          <t>正保琉球国絵図写</t>
        </is>
      </c>
      <c r="G131" t="inlineStr"/>
      <c r="H131" t="inlineStr"/>
      <c r="I131" t="inlineStr">
        <is>
          <t>57</t>
        </is>
      </c>
      <c r="J131" t="inlineStr"/>
      <c r="K131" t="inlineStr"/>
      <c r="L131" s="1">
        <f>HYPERLINK("https://www.hi.u-tokyo.ac.jp/collection/degitalgallary/ryukyu/item/10130", "https://www.hi.u-tokyo.ac.jp/collection/degitalgallary/ryukyu/item/10130")</f>
        <v/>
      </c>
    </row>
    <row r="132">
      <c r="A132" t="inlineStr">
        <is>
          <t>10131</t>
        </is>
      </c>
      <c r="B132" t="inlineStr">
        <is>
          <t>のりせ崎</t>
        </is>
      </c>
      <c r="C132" t="inlineStr">
        <is>
          <t>崎</t>
        </is>
      </c>
      <c r="D132" t="inlineStr">
        <is>
          <t>28.4618104</t>
        </is>
      </c>
      <c r="E132" t="inlineStr">
        <is>
          <t>129.5446668</t>
        </is>
      </c>
      <c r="F132" t="inlineStr">
        <is>
          <t>正保琉球国絵図写</t>
        </is>
      </c>
      <c r="G132" t="inlineStr"/>
      <c r="H132" t="inlineStr"/>
      <c r="I132" t="inlineStr">
        <is>
          <t>58</t>
        </is>
      </c>
      <c r="J132" t="inlineStr"/>
      <c r="K132" t="inlineStr">
        <is>
          <t>鹿児島県大島郡龍郷町秋名</t>
        </is>
      </c>
      <c r="L132" s="1">
        <f>HYPERLINK("https://www.hi.u-tokyo.ac.jp/collection/degitalgallary/ryukyu/item/10131", "https://www.hi.u-tokyo.ac.jp/collection/degitalgallary/ryukyu/item/10131")</f>
        <v/>
      </c>
    </row>
    <row r="133">
      <c r="A133" t="inlineStr">
        <is>
          <t>10132</t>
        </is>
      </c>
      <c r="B133" t="inlineStr">
        <is>
          <t>奥ノくハ</t>
        </is>
      </c>
      <c r="C133" t="inlineStr">
        <is>
          <t>その他</t>
        </is>
      </c>
      <c r="D133" t="inlineStr"/>
      <c r="E133" t="inlineStr"/>
      <c r="F133" t="inlineStr">
        <is>
          <t>正保琉球国絵図写</t>
        </is>
      </c>
      <c r="G133" t="inlineStr"/>
      <c r="H133" t="inlineStr"/>
      <c r="I133" t="inlineStr">
        <is>
          <t>59</t>
        </is>
      </c>
      <c r="J133" t="inlineStr"/>
      <c r="K133" t="inlineStr"/>
      <c r="L133" s="1">
        <f>HYPERLINK("https://www.hi.u-tokyo.ac.jp/collection/degitalgallary/ryukyu/item/10132", "https://www.hi.u-tokyo.ac.jp/collection/degitalgallary/ryukyu/item/10132")</f>
        <v/>
      </c>
    </row>
    <row r="134">
      <c r="A134" t="inlineStr">
        <is>
          <t>10133</t>
        </is>
      </c>
      <c r="B134" t="inlineStr">
        <is>
          <t>ほらん崎</t>
        </is>
      </c>
      <c r="C134" t="inlineStr">
        <is>
          <t>崎</t>
        </is>
      </c>
      <c r="D134" t="inlineStr">
        <is>
          <t>28.4451453</t>
        </is>
      </c>
      <c r="E134" t="inlineStr">
        <is>
          <t>129.5233771</t>
        </is>
      </c>
      <c r="F134" t="inlineStr">
        <is>
          <t>正保琉球国絵図写</t>
        </is>
      </c>
      <c r="G134" t="inlineStr"/>
      <c r="H134" t="inlineStr"/>
      <c r="I134" t="inlineStr">
        <is>
          <t>60</t>
        </is>
      </c>
      <c r="J134" t="inlineStr"/>
      <c r="K134" t="inlineStr">
        <is>
          <t>鹿児島県奄美市名瀬大字有良</t>
        </is>
      </c>
      <c r="L134" s="1">
        <f>HYPERLINK("https://www.hi.u-tokyo.ac.jp/collection/degitalgallary/ryukyu/item/10133", "https://www.hi.u-tokyo.ac.jp/collection/degitalgallary/ryukyu/item/10133")</f>
        <v/>
      </c>
    </row>
    <row r="135">
      <c r="A135" t="inlineStr">
        <is>
          <t>10134</t>
        </is>
      </c>
      <c r="B135" t="inlineStr">
        <is>
          <t>大瀬</t>
        </is>
      </c>
      <c r="C135" t="inlineStr">
        <is>
          <t>干瀬</t>
        </is>
      </c>
      <c r="D135" t="inlineStr"/>
      <c r="E135" t="inlineStr"/>
      <c r="F135" t="inlineStr">
        <is>
          <t>正保琉球国絵図写</t>
        </is>
      </c>
      <c r="G135" t="inlineStr"/>
      <c r="H135" t="inlineStr"/>
      <c r="I135" t="inlineStr">
        <is>
          <t>61</t>
        </is>
      </c>
      <c r="J135" t="inlineStr"/>
      <c r="K135" t="inlineStr"/>
      <c r="L135" s="1">
        <f>HYPERLINK("https://www.hi.u-tokyo.ac.jp/collection/degitalgallary/ryukyu/item/10134", "https://www.hi.u-tokyo.ac.jp/collection/degitalgallary/ryukyu/item/10134")</f>
        <v/>
      </c>
    </row>
    <row r="136">
      <c r="A136" t="inlineStr">
        <is>
          <t>10135</t>
        </is>
      </c>
      <c r="B136" t="inlineStr">
        <is>
          <t>大瀬</t>
        </is>
      </c>
      <c r="C136" t="inlineStr">
        <is>
          <t>干瀬</t>
        </is>
      </c>
      <c r="D136" t="inlineStr"/>
      <c r="E136" t="inlineStr"/>
      <c r="F136" t="inlineStr">
        <is>
          <t>正保琉球国絵図写</t>
        </is>
      </c>
      <c r="G136" t="inlineStr"/>
      <c r="H136" t="inlineStr"/>
      <c r="I136" t="inlineStr">
        <is>
          <t>62</t>
        </is>
      </c>
      <c r="J136" t="inlineStr"/>
      <c r="K136" t="inlineStr"/>
      <c r="L136" s="1">
        <f>HYPERLINK("https://www.hi.u-tokyo.ac.jp/collection/degitalgallary/ryukyu/item/10135", "https://www.hi.u-tokyo.ac.jp/collection/degitalgallary/ryukyu/item/10135")</f>
        <v/>
      </c>
    </row>
    <row r="137">
      <c r="A137" t="inlineStr">
        <is>
          <t>10136</t>
        </is>
      </c>
      <c r="B137" t="inlineStr">
        <is>
          <t>三つ瀬</t>
        </is>
      </c>
      <c r="C137" t="inlineStr">
        <is>
          <t>干瀬</t>
        </is>
      </c>
      <c r="D137" t="inlineStr"/>
      <c r="E137" t="inlineStr"/>
      <c r="F137" t="inlineStr">
        <is>
          <t>正保琉球国絵図写</t>
        </is>
      </c>
      <c r="G137" t="inlineStr"/>
      <c r="H137" t="inlineStr"/>
      <c r="I137" t="inlineStr">
        <is>
          <t>63</t>
        </is>
      </c>
      <c r="J137" t="inlineStr"/>
      <c r="K137" t="inlineStr"/>
      <c r="L137" s="1">
        <f>HYPERLINK("https://www.hi.u-tokyo.ac.jp/collection/degitalgallary/ryukyu/item/10136", "https://www.hi.u-tokyo.ac.jp/collection/degitalgallary/ryukyu/item/10136")</f>
        <v/>
      </c>
    </row>
    <row r="138">
      <c r="A138" t="inlineStr">
        <is>
          <t>10137</t>
        </is>
      </c>
      <c r="B138" t="inlineStr">
        <is>
          <t>立神</t>
        </is>
      </c>
      <c r="C138" t="inlineStr">
        <is>
          <t>その他</t>
        </is>
      </c>
      <c r="D138" t="inlineStr"/>
      <c r="E138" t="inlineStr"/>
      <c r="F138" t="inlineStr">
        <is>
          <t>正保琉球国絵図写</t>
        </is>
      </c>
      <c r="G138" t="inlineStr"/>
      <c r="H138" t="inlineStr"/>
      <c r="I138" t="inlineStr">
        <is>
          <t>64</t>
        </is>
      </c>
      <c r="J138" t="inlineStr"/>
      <c r="K138" t="inlineStr"/>
      <c r="L138" s="1">
        <f>HYPERLINK("https://www.hi.u-tokyo.ac.jp/collection/degitalgallary/ryukyu/item/10137", "https://www.hi.u-tokyo.ac.jp/collection/degitalgallary/ryukyu/item/10137")</f>
        <v/>
      </c>
    </row>
    <row r="139">
      <c r="A139" t="inlineStr">
        <is>
          <t>10138</t>
        </is>
      </c>
      <c r="B139" t="inlineStr">
        <is>
          <t>かいにやな</t>
        </is>
      </c>
      <c r="C139" t="inlineStr">
        <is>
          <t>その他</t>
        </is>
      </c>
      <c r="D139" t="inlineStr"/>
      <c r="E139" t="inlineStr"/>
      <c r="F139" t="inlineStr">
        <is>
          <t>正保琉球国絵図写</t>
        </is>
      </c>
      <c r="G139" t="inlineStr"/>
      <c r="H139" t="inlineStr"/>
      <c r="I139" t="inlineStr">
        <is>
          <t>65</t>
        </is>
      </c>
      <c r="J139" t="inlineStr"/>
      <c r="K139" t="inlineStr"/>
      <c r="L139" s="1">
        <f>HYPERLINK("https://www.hi.u-tokyo.ac.jp/collection/degitalgallary/ryukyu/item/10138", "https://www.hi.u-tokyo.ac.jp/collection/degitalgallary/ryukyu/item/10138")</f>
        <v/>
      </c>
    </row>
    <row r="140">
      <c r="A140" t="inlineStr">
        <is>
          <t>10139</t>
        </is>
      </c>
      <c r="B140" t="inlineStr">
        <is>
          <t>くろこミ</t>
        </is>
      </c>
      <c r="C140" t="inlineStr">
        <is>
          <t>その他</t>
        </is>
      </c>
      <c r="D140" t="inlineStr"/>
      <c r="E140" t="inlineStr"/>
      <c r="F140" t="inlineStr">
        <is>
          <t>正保琉球国絵図写</t>
        </is>
      </c>
      <c r="G140" t="inlineStr"/>
      <c r="H140" t="inlineStr"/>
      <c r="I140" t="inlineStr">
        <is>
          <t>66</t>
        </is>
      </c>
      <c r="J140" t="inlineStr"/>
      <c r="K140" t="inlineStr"/>
      <c r="L140" s="1">
        <f>HYPERLINK("https://www.hi.u-tokyo.ac.jp/collection/degitalgallary/ryukyu/item/10139", "https://www.hi.u-tokyo.ac.jp/collection/degitalgallary/ryukyu/item/10139")</f>
        <v/>
      </c>
    </row>
    <row r="141">
      <c r="A141" t="inlineStr">
        <is>
          <t>10140</t>
        </is>
      </c>
      <c r="B141" t="inlineStr">
        <is>
          <t>名瀬ノ湊</t>
        </is>
      </c>
      <c r="C141" t="inlineStr">
        <is>
          <t>港湾</t>
        </is>
      </c>
      <c r="D141" t="inlineStr"/>
      <c r="E141" t="inlineStr"/>
      <c r="F141" t="inlineStr">
        <is>
          <t>正保琉球国絵図写</t>
        </is>
      </c>
      <c r="G141" t="inlineStr">
        <is>
          <t>此名瀬之湊、入十二町、広さ五町、干汐ニ深さ八尋、大船十四五艘程繋ル、西風北風ノ時船繋リ不自由</t>
        </is>
      </c>
      <c r="H141" t="inlineStr"/>
      <c r="I141" t="inlineStr">
        <is>
          <t>67</t>
        </is>
      </c>
      <c r="J141" t="inlineStr"/>
      <c r="K141" t="inlineStr"/>
      <c r="L141" s="1">
        <f>HYPERLINK("https://www.hi.u-tokyo.ac.jp/collection/degitalgallary/ryukyu/item/10140", "https://www.hi.u-tokyo.ac.jp/collection/degitalgallary/ryukyu/item/10140")</f>
        <v/>
      </c>
    </row>
    <row r="142">
      <c r="A142" t="inlineStr">
        <is>
          <t>10141</t>
        </is>
      </c>
      <c r="B142" t="inlineStr">
        <is>
          <t>赤崎</t>
        </is>
      </c>
      <c r="C142" t="inlineStr">
        <is>
          <t>崎</t>
        </is>
      </c>
      <c r="D142" t="inlineStr">
        <is>
          <t>28.4016995</t>
        </is>
      </c>
      <c r="E142" t="inlineStr">
        <is>
          <t>129.4890583</t>
        </is>
      </c>
      <c r="F142" t="inlineStr">
        <is>
          <t>正保琉球国絵図写</t>
        </is>
      </c>
      <c r="G142" t="inlineStr"/>
      <c r="H142" t="inlineStr"/>
      <c r="I142" t="inlineStr">
        <is>
          <t>68</t>
        </is>
      </c>
      <c r="J142" t="inlineStr"/>
      <c r="K142" t="inlineStr">
        <is>
          <t>鹿児島県奄美市名瀬大字朝仁</t>
        </is>
      </c>
      <c r="L142" s="1">
        <f>HYPERLINK("https://www.hi.u-tokyo.ac.jp/collection/degitalgallary/ryukyu/item/10141", "https://www.hi.u-tokyo.ac.jp/collection/degitalgallary/ryukyu/item/10141")</f>
        <v/>
      </c>
    </row>
    <row r="143">
      <c r="A143" t="inlineStr">
        <is>
          <t>10142</t>
        </is>
      </c>
      <c r="B143" t="inlineStr">
        <is>
          <t>遠干潟</t>
        </is>
      </c>
      <c r="C143" t="inlineStr">
        <is>
          <t>干瀬</t>
        </is>
      </c>
      <c r="D143" t="inlineStr"/>
      <c r="E143" t="inlineStr"/>
      <c r="F143" t="inlineStr">
        <is>
          <t>正保琉球国絵図写</t>
        </is>
      </c>
      <c r="G143" t="inlineStr"/>
      <c r="H143" t="inlineStr"/>
      <c r="I143" t="inlineStr">
        <is>
          <t>69</t>
        </is>
      </c>
      <c r="J143" t="inlineStr"/>
      <c r="K143" t="inlineStr"/>
      <c r="L143" s="1">
        <f>HYPERLINK("https://www.hi.u-tokyo.ac.jp/collection/degitalgallary/ryukyu/item/10142", "https://www.hi.u-tokyo.ac.jp/collection/degitalgallary/ryukyu/item/10142")</f>
        <v/>
      </c>
    </row>
    <row r="144">
      <c r="A144" t="inlineStr">
        <is>
          <t>10143</t>
        </is>
      </c>
      <c r="B144" t="inlineStr">
        <is>
          <t>あやう崎</t>
        </is>
      </c>
      <c r="C144" t="inlineStr">
        <is>
          <t>崎</t>
        </is>
      </c>
      <c r="D144" t="inlineStr">
        <is>
          <t>28.407908</t>
        </is>
      </c>
      <c r="E144" t="inlineStr">
        <is>
          <t>129.470982</t>
        </is>
      </c>
      <c r="F144" t="inlineStr">
        <is>
          <t>正保琉球国絵図写</t>
        </is>
      </c>
      <c r="G144" t="inlineStr"/>
      <c r="H144" t="inlineStr"/>
      <c r="I144" t="inlineStr">
        <is>
          <t>70</t>
        </is>
      </c>
      <c r="J144" t="inlineStr"/>
      <c r="K144" t="inlineStr">
        <is>
          <t>鹿児島県奄美市名瀬大字小宿</t>
        </is>
      </c>
      <c r="L144" s="1">
        <f>HYPERLINK("https://www.hi.u-tokyo.ac.jp/collection/degitalgallary/ryukyu/item/10143", "https://www.hi.u-tokyo.ac.jp/collection/degitalgallary/ryukyu/item/10143")</f>
        <v/>
      </c>
    </row>
    <row r="145">
      <c r="A145" t="inlineStr">
        <is>
          <t>10144</t>
        </is>
      </c>
      <c r="B145" t="inlineStr">
        <is>
          <t>名瀬湊より大和馬場湊迄、海上五里</t>
        </is>
      </c>
      <c r="C145" t="inlineStr">
        <is>
          <t>航路</t>
        </is>
      </c>
      <c r="D145" t="inlineStr"/>
      <c r="E145" t="inlineStr"/>
      <c r="F145" t="inlineStr">
        <is>
          <t>正保琉球国絵図写</t>
        </is>
      </c>
      <c r="G145" t="inlineStr"/>
      <c r="H145" t="inlineStr"/>
      <c r="I145" t="inlineStr">
        <is>
          <t>71</t>
        </is>
      </c>
      <c r="J145" t="inlineStr"/>
      <c r="K145" t="inlineStr"/>
      <c r="L145" s="1">
        <f>HYPERLINK("https://www.hi.u-tokyo.ac.jp/collection/degitalgallary/ryukyu/item/10144", "https://www.hi.u-tokyo.ac.jp/collection/degitalgallary/ryukyu/item/10144")</f>
        <v/>
      </c>
    </row>
    <row r="146">
      <c r="A146" t="inlineStr">
        <is>
          <t>10145</t>
        </is>
      </c>
      <c r="B146" t="inlineStr">
        <is>
          <t>立瀬</t>
        </is>
      </c>
      <c r="C146" t="inlineStr">
        <is>
          <t>干瀬</t>
        </is>
      </c>
      <c r="D146" t="inlineStr">
        <is>
          <t>28.41187</t>
        </is>
      </c>
      <c r="E146" t="inlineStr">
        <is>
          <t>129.4549944</t>
        </is>
      </c>
      <c r="F146" t="inlineStr">
        <is>
          <t>正保琉球国絵図写</t>
        </is>
      </c>
      <c r="G146" t="inlineStr"/>
      <c r="H146" t="inlineStr"/>
      <c r="I146" t="inlineStr">
        <is>
          <t>72</t>
        </is>
      </c>
      <c r="J146" t="inlineStr"/>
      <c r="K146" t="inlineStr">
        <is>
          <t>鹿児島県奄美市名瀬大字小宿</t>
        </is>
      </c>
      <c r="L146" s="1">
        <f>HYPERLINK("https://www.hi.u-tokyo.ac.jp/collection/degitalgallary/ryukyu/item/10145", "https://www.hi.u-tokyo.ac.jp/collection/degitalgallary/ryukyu/item/10145")</f>
        <v/>
      </c>
    </row>
    <row r="147">
      <c r="A147" t="inlineStr">
        <is>
          <t>10146</t>
        </is>
      </c>
      <c r="B147" t="inlineStr">
        <is>
          <t>船瀬</t>
        </is>
      </c>
      <c r="C147" t="inlineStr">
        <is>
          <t>干瀬</t>
        </is>
      </c>
      <c r="D147" t="inlineStr"/>
      <c r="E147" t="inlineStr"/>
      <c r="F147" t="inlineStr">
        <is>
          <t>正保琉球国絵図写</t>
        </is>
      </c>
      <c r="G147" t="inlineStr"/>
      <c r="H147" t="inlineStr"/>
      <c r="I147" t="inlineStr">
        <is>
          <t>73</t>
        </is>
      </c>
      <c r="J147" t="inlineStr"/>
      <c r="K147" t="inlineStr"/>
      <c r="L147" s="1">
        <f>HYPERLINK("https://www.hi.u-tokyo.ac.jp/collection/degitalgallary/ryukyu/item/10146", "https://www.hi.u-tokyo.ac.jp/collection/degitalgallary/ryukyu/item/10146")</f>
        <v/>
      </c>
    </row>
    <row r="148">
      <c r="A148" t="inlineStr">
        <is>
          <t>10147</t>
        </is>
      </c>
      <c r="B148" t="inlineStr">
        <is>
          <t>都崎</t>
        </is>
      </c>
      <c r="C148" t="inlineStr">
        <is>
          <t>崎</t>
        </is>
      </c>
      <c r="D148" t="inlineStr">
        <is>
          <t>28.385316</t>
        </is>
      </c>
      <c r="E148" t="inlineStr">
        <is>
          <t>129.3952953</t>
        </is>
      </c>
      <c r="F148" t="inlineStr">
        <is>
          <t>正保琉球国絵図写</t>
        </is>
      </c>
      <c r="G148" t="inlineStr"/>
      <c r="H148" t="inlineStr"/>
      <c r="I148" t="inlineStr">
        <is>
          <t>74</t>
        </is>
      </c>
      <c r="J148" t="inlineStr"/>
      <c r="K148" t="inlineStr">
        <is>
          <t>鹿児島県奄美市名瀬大字根瀬部</t>
        </is>
      </c>
      <c r="L148" s="1">
        <f>HYPERLINK("https://www.hi.u-tokyo.ac.jp/collection/degitalgallary/ryukyu/item/10147", "https://www.hi.u-tokyo.ac.jp/collection/degitalgallary/ryukyu/item/10147")</f>
        <v/>
      </c>
    </row>
    <row r="149">
      <c r="A149" t="inlineStr">
        <is>
          <t>10148</t>
        </is>
      </c>
      <c r="B149" t="inlineStr">
        <is>
          <t>大和馬場湊</t>
        </is>
      </c>
      <c r="C149" t="inlineStr">
        <is>
          <t>港湾</t>
        </is>
      </c>
      <c r="D149" t="inlineStr">
        <is>
          <t>28.3361951</t>
        </is>
      </c>
      <c r="E149" t="inlineStr">
        <is>
          <t>129.3776715</t>
        </is>
      </c>
      <c r="F149" t="inlineStr">
        <is>
          <t>正保琉球国絵図写</t>
        </is>
      </c>
      <c r="G149" t="inlineStr">
        <is>
          <t>此大和馬場湊、入五町、広サ三町、干汐ノ時深サ十二尋、大船五六艘程繋ル、東風ニ船かゝり不成</t>
        </is>
      </c>
      <c r="H149" t="inlineStr"/>
      <c r="I149" t="inlineStr">
        <is>
          <t>75</t>
        </is>
      </c>
      <c r="J149" t="inlineStr"/>
      <c r="K149" t="inlineStr">
        <is>
          <t>鹿児島県大島郡大和村大和浜</t>
        </is>
      </c>
      <c r="L149" s="1">
        <f>HYPERLINK("https://www.hi.u-tokyo.ac.jp/collection/degitalgallary/ryukyu/item/10148", "https://www.hi.u-tokyo.ac.jp/collection/degitalgallary/ryukyu/item/10148")</f>
        <v/>
      </c>
    </row>
    <row r="150">
      <c r="A150" t="inlineStr">
        <is>
          <t>10149</t>
        </is>
      </c>
      <c r="B150" t="inlineStr">
        <is>
          <t>高瀬</t>
        </is>
      </c>
      <c r="C150" t="inlineStr">
        <is>
          <t>干瀬</t>
        </is>
      </c>
      <c r="D150" t="inlineStr"/>
      <c r="E150" t="inlineStr"/>
      <c r="F150" t="inlineStr">
        <is>
          <t>正保琉球国絵図写</t>
        </is>
      </c>
      <c r="G150" t="inlineStr"/>
      <c r="H150" t="inlineStr"/>
      <c r="I150" t="inlineStr">
        <is>
          <t>76</t>
        </is>
      </c>
      <c r="J150" t="inlineStr"/>
      <c r="K150" t="inlineStr"/>
      <c r="L150" s="1">
        <f>HYPERLINK("https://www.hi.u-tokyo.ac.jp/collection/degitalgallary/ryukyu/item/10149", "https://www.hi.u-tokyo.ac.jp/collection/degitalgallary/ryukyu/item/10149")</f>
        <v/>
      </c>
    </row>
    <row r="151">
      <c r="A151" t="inlineStr">
        <is>
          <t>10150</t>
        </is>
      </c>
      <c r="B151" t="inlineStr">
        <is>
          <t>鳥崎</t>
        </is>
      </c>
      <c r="C151" t="inlineStr">
        <is>
          <t>崎</t>
        </is>
      </c>
      <c r="D151" t="inlineStr"/>
      <c r="E151" t="inlineStr"/>
      <c r="F151" t="inlineStr">
        <is>
          <t>正保琉球国絵図写</t>
        </is>
      </c>
      <c r="G151" t="inlineStr"/>
      <c r="H151" t="inlineStr"/>
      <c r="I151" t="inlineStr">
        <is>
          <t>77</t>
        </is>
      </c>
      <c r="J151" t="inlineStr"/>
      <c r="K151" t="inlineStr"/>
      <c r="L151" s="1">
        <f>HYPERLINK("https://www.hi.u-tokyo.ac.jp/collection/degitalgallary/ryukyu/item/10150", "https://www.hi.u-tokyo.ac.jp/collection/degitalgallary/ryukyu/item/10150")</f>
        <v/>
      </c>
    </row>
    <row r="152">
      <c r="A152" t="inlineStr">
        <is>
          <t>10151</t>
        </is>
      </c>
      <c r="B152" t="inlineStr">
        <is>
          <t>黒瀬</t>
        </is>
      </c>
      <c r="C152" t="inlineStr">
        <is>
          <t>干瀬</t>
        </is>
      </c>
      <c r="D152" t="inlineStr">
        <is>
          <t>28.3590347</t>
        </is>
      </c>
      <c r="E152" t="inlineStr">
        <is>
          <t>129.3541259</t>
        </is>
      </c>
      <c r="F152" t="inlineStr">
        <is>
          <t>正保琉球国絵図写</t>
        </is>
      </c>
      <c r="G152" t="inlineStr"/>
      <c r="H152" t="inlineStr"/>
      <c r="I152" t="inlineStr">
        <is>
          <t>78</t>
        </is>
      </c>
      <c r="J152" t="inlineStr"/>
      <c r="K152" t="inlineStr">
        <is>
          <t>鹿児島県大島郡大和村大金久</t>
        </is>
      </c>
      <c r="L152" s="1">
        <f>HYPERLINK("https://www.hi.u-tokyo.ac.jp/collection/degitalgallary/ryukyu/item/10151", "https://www.hi.u-tokyo.ac.jp/collection/degitalgallary/ryukyu/item/10151")</f>
        <v/>
      </c>
    </row>
    <row r="153">
      <c r="A153" t="inlineStr">
        <is>
          <t>10152</t>
        </is>
      </c>
      <c r="B153" t="inlineStr">
        <is>
          <t>おりせの崎</t>
        </is>
      </c>
      <c r="C153" t="inlineStr">
        <is>
          <t>崎</t>
        </is>
      </c>
      <c r="D153" t="inlineStr">
        <is>
          <t>28.3610631</t>
        </is>
      </c>
      <c r="E153" t="inlineStr">
        <is>
          <t>129.3519234</t>
        </is>
      </c>
      <c r="F153" t="inlineStr">
        <is>
          <t>正保琉球国絵図写</t>
        </is>
      </c>
      <c r="G153" t="inlineStr"/>
      <c r="H153" t="inlineStr"/>
      <c r="I153" t="inlineStr">
        <is>
          <t>79</t>
        </is>
      </c>
      <c r="J153" t="inlineStr"/>
      <c r="K153" t="inlineStr">
        <is>
          <t>鹿児島県大島郡大和村大金久</t>
        </is>
      </c>
      <c r="L153" s="1">
        <f>HYPERLINK("https://www.hi.u-tokyo.ac.jp/collection/degitalgallary/ryukyu/item/10152", "https://www.hi.u-tokyo.ac.jp/collection/degitalgallary/ryukyu/item/10152")</f>
        <v/>
      </c>
    </row>
    <row r="154">
      <c r="A154" t="inlineStr">
        <is>
          <t>10153</t>
        </is>
      </c>
      <c r="B154" t="inlineStr">
        <is>
          <t>通り瀬</t>
        </is>
      </c>
      <c r="C154" t="inlineStr">
        <is>
          <t>干瀬</t>
        </is>
      </c>
      <c r="D154" t="inlineStr">
        <is>
          <t>28.3678738</t>
        </is>
      </c>
      <c r="E154" t="inlineStr">
        <is>
          <t>129.3481652</t>
        </is>
      </c>
      <c r="F154" t="inlineStr">
        <is>
          <t>正保琉球国絵図写</t>
        </is>
      </c>
      <c r="G154" t="inlineStr"/>
      <c r="H154" t="inlineStr"/>
      <c r="I154" t="inlineStr">
        <is>
          <t>80</t>
        </is>
      </c>
      <c r="J154" t="inlineStr"/>
      <c r="K154" t="inlineStr">
        <is>
          <t>鹿児島県大島郡大和村大金久</t>
        </is>
      </c>
      <c r="L154" s="1">
        <f>HYPERLINK("https://www.hi.u-tokyo.ac.jp/collection/degitalgallary/ryukyu/item/10153", "https://www.hi.u-tokyo.ac.jp/collection/degitalgallary/ryukyu/item/10153")</f>
        <v/>
      </c>
    </row>
    <row r="155">
      <c r="A155" t="inlineStr">
        <is>
          <t>10154</t>
        </is>
      </c>
      <c r="B155" t="inlineStr">
        <is>
          <t>大崎</t>
        </is>
      </c>
      <c r="C155" t="inlineStr">
        <is>
          <t>崎</t>
        </is>
      </c>
      <c r="D155" t="inlineStr">
        <is>
          <t>28.3689229</t>
        </is>
      </c>
      <c r="E155" t="inlineStr">
        <is>
          <t>129.3445322</t>
        </is>
      </c>
      <c r="F155" t="inlineStr">
        <is>
          <t>正保琉球国絵図写</t>
        </is>
      </c>
      <c r="G155" t="inlineStr"/>
      <c r="H155" t="inlineStr"/>
      <c r="I155" t="inlineStr">
        <is>
          <t>81</t>
        </is>
      </c>
      <c r="J155" t="inlineStr"/>
      <c r="K155" t="inlineStr">
        <is>
          <t>鹿児島県大島郡大和村大金久</t>
        </is>
      </c>
      <c r="L155" s="1">
        <f>HYPERLINK("https://www.hi.u-tokyo.ac.jp/collection/degitalgallary/ryukyu/item/10154", "https://www.hi.u-tokyo.ac.jp/collection/degitalgallary/ryukyu/item/10154")</f>
        <v/>
      </c>
    </row>
    <row r="156">
      <c r="A156" t="inlineStr">
        <is>
          <t>10155</t>
        </is>
      </c>
      <c r="B156" t="inlineStr">
        <is>
          <t>大和馬場湊より焼内湊迄、海上七里</t>
        </is>
      </c>
      <c r="C156" t="inlineStr">
        <is>
          <t>航路</t>
        </is>
      </c>
      <c r="D156" t="inlineStr"/>
      <c r="E156" t="inlineStr"/>
      <c r="F156" t="inlineStr">
        <is>
          <t>正保琉球国絵図写</t>
        </is>
      </c>
      <c r="G156" t="inlineStr"/>
      <c r="H156" t="inlineStr"/>
      <c r="I156" t="inlineStr">
        <is>
          <t>82</t>
        </is>
      </c>
      <c r="J156" t="inlineStr"/>
      <c r="K156" t="inlineStr"/>
      <c r="L156" s="1">
        <f>HYPERLINK("https://www.hi.u-tokyo.ac.jp/collection/degitalgallary/ryukyu/item/10155", "https://www.hi.u-tokyo.ac.jp/collection/degitalgallary/ryukyu/item/10155")</f>
        <v/>
      </c>
    </row>
    <row r="157">
      <c r="A157" t="inlineStr">
        <is>
          <t>10156</t>
        </is>
      </c>
      <c r="B157" t="inlineStr">
        <is>
          <t>あさん崎</t>
        </is>
      </c>
      <c r="C157" t="inlineStr">
        <is>
          <t>崎</t>
        </is>
      </c>
      <c r="D157" t="inlineStr">
        <is>
          <t>28.3497355</t>
        </is>
      </c>
      <c r="E157" t="inlineStr">
        <is>
          <t>129.3113573</t>
        </is>
      </c>
      <c r="F157" t="inlineStr">
        <is>
          <t>正保琉球国絵図写</t>
        </is>
      </c>
      <c r="G157" t="inlineStr"/>
      <c r="H157" t="inlineStr"/>
      <c r="I157" t="inlineStr">
        <is>
          <t>83</t>
        </is>
      </c>
      <c r="J157" t="inlineStr"/>
      <c r="K157" t="inlineStr">
        <is>
          <t>鹿児島県大島郡大和村戸円</t>
        </is>
      </c>
      <c r="L157" s="1">
        <f>HYPERLINK("https://www.hi.u-tokyo.ac.jp/collection/degitalgallary/ryukyu/item/10156", "https://www.hi.u-tokyo.ac.jp/collection/degitalgallary/ryukyu/item/10156")</f>
        <v/>
      </c>
    </row>
    <row r="158">
      <c r="A158" t="inlineStr">
        <is>
          <t>10157</t>
        </is>
      </c>
      <c r="B158" t="inlineStr">
        <is>
          <t>大嶋
高壱万四百五拾五石五斗
嶋廻五拾九里拾町</t>
        </is>
      </c>
      <c r="C158" t="inlineStr">
        <is>
          <t>島</t>
        </is>
      </c>
      <c r="D158" t="inlineStr"/>
      <c r="E158" t="inlineStr"/>
      <c r="F158" t="inlineStr">
        <is>
          <t>正保琉球国絵図写</t>
        </is>
      </c>
      <c r="G158" t="inlineStr"/>
      <c r="H158" t="inlineStr"/>
      <c r="I158" t="inlineStr">
        <is>
          <t>84</t>
        </is>
      </c>
      <c r="J158" t="inlineStr"/>
      <c r="K158" t="inlineStr"/>
      <c r="L158" s="1">
        <f>HYPERLINK("https://www.hi.u-tokyo.ac.jp/collection/degitalgallary/ryukyu/item/10157", "https://www.hi.u-tokyo.ac.jp/collection/degitalgallary/ryukyu/item/10157")</f>
        <v/>
      </c>
    </row>
    <row r="159">
      <c r="A159" t="inlineStr">
        <is>
          <t>10158</t>
        </is>
      </c>
      <c r="B159" t="inlineStr">
        <is>
          <t>より瀬</t>
        </is>
      </c>
      <c r="C159" t="inlineStr">
        <is>
          <t>干瀬</t>
        </is>
      </c>
      <c r="D159" t="inlineStr">
        <is>
          <t>28.3314585</t>
        </is>
      </c>
      <c r="E159" t="inlineStr">
        <is>
          <t>129.2878372</t>
        </is>
      </c>
      <c r="F159" t="inlineStr">
        <is>
          <t>正保琉球国絵図写</t>
        </is>
      </c>
      <c r="G159" t="inlineStr"/>
      <c r="H159" t="inlineStr"/>
      <c r="I159" t="inlineStr">
        <is>
          <t>85</t>
        </is>
      </c>
      <c r="J159" t="inlineStr"/>
      <c r="K159" t="inlineStr">
        <is>
          <t>鹿児島県大島郡大和村志戸勘</t>
        </is>
      </c>
      <c r="L159" s="1">
        <f>HYPERLINK("https://www.hi.u-tokyo.ac.jp/collection/degitalgallary/ryukyu/item/10158", "https://www.hi.u-tokyo.ac.jp/collection/degitalgallary/ryukyu/item/10158")</f>
        <v/>
      </c>
    </row>
    <row r="160">
      <c r="A160" t="inlineStr">
        <is>
          <t>10159</t>
        </is>
      </c>
      <c r="B160" t="inlineStr">
        <is>
          <t>宮里立神</t>
        </is>
      </c>
      <c r="C160" t="inlineStr">
        <is>
          <t>その他</t>
        </is>
      </c>
      <c r="D160" t="inlineStr">
        <is>
          <t>28.332007</t>
        </is>
      </c>
      <c r="E160" t="inlineStr">
        <is>
          <t>129.2740926</t>
        </is>
      </c>
      <c r="F160" t="inlineStr">
        <is>
          <t>正保琉球国絵図写</t>
        </is>
      </c>
      <c r="G160" t="inlineStr"/>
      <c r="H160" t="inlineStr"/>
      <c r="I160" t="inlineStr">
        <is>
          <t>86</t>
        </is>
      </c>
      <c r="J160" t="inlineStr"/>
      <c r="K160" t="inlineStr">
        <is>
          <t>鹿児島県大島郡大和村今里</t>
        </is>
      </c>
      <c r="L160" s="1">
        <f>HYPERLINK("https://www.hi.u-tokyo.ac.jp/collection/degitalgallary/ryukyu/item/10159", "https://www.hi.u-tokyo.ac.jp/collection/degitalgallary/ryukyu/item/10159")</f>
        <v/>
      </c>
    </row>
    <row r="161">
      <c r="A161" t="inlineStr">
        <is>
          <t>10160</t>
        </is>
      </c>
      <c r="B161" t="inlineStr">
        <is>
          <t>けん崎</t>
        </is>
      </c>
      <c r="C161" t="inlineStr">
        <is>
          <t>崎</t>
        </is>
      </c>
      <c r="D161" t="inlineStr">
        <is>
          <t>28.3270001</t>
        </is>
      </c>
      <c r="E161" t="inlineStr">
        <is>
          <t>129.2658115</t>
        </is>
      </c>
      <c r="F161" t="inlineStr">
        <is>
          <t>正保琉球国絵図写</t>
        </is>
      </c>
      <c r="G161" t="inlineStr"/>
      <c r="H161" t="inlineStr"/>
      <c r="I161" t="inlineStr">
        <is>
          <t>87</t>
        </is>
      </c>
      <c r="J161" t="inlineStr"/>
      <c r="K161" t="inlineStr">
        <is>
          <t>鹿児島県大島郡大和村今里</t>
        </is>
      </c>
      <c r="L161" s="1">
        <f>HYPERLINK("https://www.hi.u-tokyo.ac.jp/collection/degitalgallary/ryukyu/item/10160", "https://www.hi.u-tokyo.ac.jp/collection/degitalgallary/ryukyu/item/10160")</f>
        <v/>
      </c>
    </row>
    <row r="162">
      <c r="A162" t="inlineStr">
        <is>
          <t>10161</t>
        </is>
      </c>
      <c r="B162" t="inlineStr">
        <is>
          <t>くらき崎</t>
        </is>
      </c>
      <c r="C162" t="inlineStr">
        <is>
          <t>崎</t>
        </is>
      </c>
      <c r="D162" t="inlineStr">
        <is>
          <t>28.3061867</t>
        </is>
      </c>
      <c r="E162" t="inlineStr">
        <is>
          <t>129.211373</t>
        </is>
      </c>
      <c r="F162" t="inlineStr">
        <is>
          <t>正保琉球国絵図写</t>
        </is>
      </c>
      <c r="G162" t="inlineStr"/>
      <c r="H162" t="inlineStr"/>
      <c r="I162" t="inlineStr">
        <is>
          <t>88</t>
        </is>
      </c>
      <c r="J162" t="inlineStr"/>
      <c r="K162" t="inlineStr">
        <is>
          <t>鹿児島県大島郡宇検村宇検</t>
        </is>
      </c>
      <c r="L162" s="1">
        <f>HYPERLINK("https://www.hi.u-tokyo.ac.jp/collection/degitalgallary/ryukyu/item/10161", "https://www.hi.u-tokyo.ac.jp/collection/degitalgallary/ryukyu/item/10161")</f>
        <v/>
      </c>
    </row>
    <row r="163">
      <c r="A163" t="inlineStr">
        <is>
          <t>10162</t>
        </is>
      </c>
      <c r="B163" t="inlineStr">
        <is>
          <t>いたてく嶋</t>
        </is>
      </c>
      <c r="C163" t="inlineStr">
        <is>
          <t>島</t>
        </is>
      </c>
      <c r="D163" t="inlineStr">
        <is>
          <t>28.2916973</t>
        </is>
      </c>
      <c r="E163" t="inlineStr">
        <is>
          <t>129.1988063</t>
        </is>
      </c>
      <c r="F163" t="inlineStr">
        <is>
          <t>正保琉球国絵図写</t>
        </is>
      </c>
      <c r="G163" t="inlineStr">
        <is>
          <t>人居なし</t>
        </is>
      </c>
      <c r="H163" t="inlineStr"/>
      <c r="I163" t="inlineStr">
        <is>
          <t>89</t>
        </is>
      </c>
      <c r="J163" t="inlineStr"/>
      <c r="K163" t="inlineStr">
        <is>
          <t>鹿児島県大島郡宇検村阿室</t>
        </is>
      </c>
      <c r="L163" s="1">
        <f>HYPERLINK("https://www.hi.u-tokyo.ac.jp/collection/degitalgallary/ryukyu/item/10162", "https://www.hi.u-tokyo.ac.jp/collection/degitalgallary/ryukyu/item/10162")</f>
        <v/>
      </c>
    </row>
    <row r="164">
      <c r="A164" t="inlineStr">
        <is>
          <t>10163</t>
        </is>
      </c>
      <c r="B164" t="inlineStr">
        <is>
          <t>とぐら崎</t>
        </is>
      </c>
      <c r="C164" t="inlineStr">
        <is>
          <t>崎</t>
        </is>
      </c>
      <c r="D164" t="inlineStr">
        <is>
          <t>28.3054368</t>
        </is>
      </c>
      <c r="E164" t="inlineStr">
        <is>
          <t>129.1855812</t>
        </is>
      </c>
      <c r="F164" t="inlineStr">
        <is>
          <t>正保琉球国絵図写</t>
        </is>
      </c>
      <c r="G164" t="inlineStr"/>
      <c r="H164" t="inlineStr"/>
      <c r="I164" t="inlineStr">
        <is>
          <t>90</t>
        </is>
      </c>
      <c r="J164" t="inlineStr"/>
      <c r="K164" t="inlineStr">
        <is>
          <t>鹿児島県大島郡宇検村阿室</t>
        </is>
      </c>
      <c r="L164" s="1">
        <f>HYPERLINK("https://www.hi.u-tokyo.ac.jp/collection/degitalgallary/ryukyu/item/10163", "https://www.hi.u-tokyo.ac.jp/collection/degitalgallary/ryukyu/item/10163")</f>
        <v/>
      </c>
    </row>
    <row r="165">
      <c r="A165" t="inlineStr">
        <is>
          <t>10164</t>
        </is>
      </c>
      <c r="B165" t="inlineStr">
        <is>
          <t>大ひせの崎</t>
        </is>
      </c>
      <c r="C165" t="inlineStr">
        <is>
          <t>崎</t>
        </is>
      </c>
      <c r="D165" t="inlineStr">
        <is>
          <t>28.286792</t>
        </is>
      </c>
      <c r="E165" t="inlineStr">
        <is>
          <t>129.1919584</t>
        </is>
      </c>
      <c r="F165" t="inlineStr">
        <is>
          <t>正保琉球国絵図写</t>
        </is>
      </c>
      <c r="G165" t="inlineStr"/>
      <c r="H165" t="inlineStr"/>
      <c r="I165" t="inlineStr">
        <is>
          <t>91</t>
        </is>
      </c>
      <c r="J165" t="inlineStr"/>
      <c r="K165" t="inlineStr">
        <is>
          <t>鹿児島県大島郡宇検村阿室</t>
        </is>
      </c>
      <c r="L165" s="1">
        <f>HYPERLINK("https://www.hi.u-tokyo.ac.jp/collection/degitalgallary/ryukyu/item/10164", "https://www.hi.u-tokyo.ac.jp/collection/degitalgallary/ryukyu/item/10164")</f>
        <v/>
      </c>
    </row>
    <row r="166">
      <c r="A166" t="inlineStr">
        <is>
          <t>10165</t>
        </is>
      </c>
      <c r="B166" t="inlineStr">
        <is>
          <t>赤崎</t>
        </is>
      </c>
      <c r="C166" t="inlineStr">
        <is>
          <t>崎</t>
        </is>
      </c>
      <c r="D166" t="inlineStr">
        <is>
          <t>28.2848007</t>
        </is>
      </c>
      <c r="E166" t="inlineStr">
        <is>
          <t>129.2205807</t>
        </is>
      </c>
      <c r="F166" t="inlineStr">
        <is>
          <t>正保琉球国絵図写</t>
        </is>
      </c>
      <c r="G166" t="inlineStr"/>
      <c r="H166" t="inlineStr"/>
      <c r="I166" t="inlineStr">
        <is>
          <t>92</t>
        </is>
      </c>
      <c r="J166" t="inlineStr"/>
      <c r="K166" t="inlineStr">
        <is>
          <t>鹿児島県大島郡宇検村久志</t>
        </is>
      </c>
      <c r="L166" s="1">
        <f>HYPERLINK("https://www.hi.u-tokyo.ac.jp/collection/degitalgallary/ryukyu/item/10165", "https://www.hi.u-tokyo.ac.jp/collection/degitalgallary/ryukyu/item/10165")</f>
        <v/>
      </c>
    </row>
    <row r="167">
      <c r="A167" t="inlineStr">
        <is>
          <t>10166</t>
        </is>
      </c>
      <c r="B167" t="inlineStr">
        <is>
          <t>小嶋</t>
        </is>
      </c>
      <c r="C167" t="inlineStr">
        <is>
          <t>その他</t>
        </is>
      </c>
      <c r="D167" t="inlineStr">
        <is>
          <t>28.2949428</t>
        </is>
      </c>
      <c r="E167" t="inlineStr">
        <is>
          <t>129.217361</t>
        </is>
      </c>
      <c r="F167" t="inlineStr">
        <is>
          <t>正保琉球国絵図写</t>
        </is>
      </c>
      <c r="G167" t="inlineStr"/>
      <c r="H167" t="inlineStr"/>
      <c r="I167" t="inlineStr">
        <is>
          <t>93</t>
        </is>
      </c>
      <c r="J167" t="inlineStr"/>
      <c r="K167" t="inlineStr">
        <is>
          <t>鹿児島県大島郡宇検村久志</t>
        </is>
      </c>
      <c r="L167" s="1">
        <f>HYPERLINK("https://www.hi.u-tokyo.ac.jp/collection/degitalgallary/ryukyu/item/10166", "https://www.hi.u-tokyo.ac.jp/collection/degitalgallary/ryukyu/item/10166")</f>
        <v/>
      </c>
    </row>
    <row r="168">
      <c r="A168" t="inlineStr">
        <is>
          <t>10167</t>
        </is>
      </c>
      <c r="B168" t="inlineStr">
        <is>
          <t>ゑお崎</t>
        </is>
      </c>
      <c r="C168" t="inlineStr">
        <is>
          <t>崎</t>
        </is>
      </c>
      <c r="D168" t="inlineStr"/>
      <c r="E168" t="inlineStr"/>
      <c r="F168" t="inlineStr">
        <is>
          <t>正保琉球国絵図写</t>
        </is>
      </c>
      <c r="G168" t="inlineStr"/>
      <c r="H168" t="inlineStr"/>
      <c r="I168" t="inlineStr">
        <is>
          <t>94</t>
        </is>
      </c>
      <c r="J168" t="inlineStr"/>
      <c r="K168" t="inlineStr"/>
      <c r="L168" s="1">
        <f>HYPERLINK("https://www.hi.u-tokyo.ac.jp/collection/degitalgallary/ryukyu/item/10167", "https://www.hi.u-tokyo.ac.jp/collection/degitalgallary/ryukyu/item/10167")</f>
        <v/>
      </c>
    </row>
    <row r="169">
      <c r="A169" t="inlineStr">
        <is>
          <t>10168</t>
        </is>
      </c>
      <c r="B169" t="inlineStr">
        <is>
          <t>もと海の崎</t>
        </is>
      </c>
      <c r="C169" t="inlineStr">
        <is>
          <t>崎</t>
        </is>
      </c>
      <c r="D169" t="inlineStr"/>
      <c r="E169" t="inlineStr"/>
      <c r="F169" t="inlineStr">
        <is>
          <t>正保琉球国絵図写</t>
        </is>
      </c>
      <c r="G169" t="inlineStr"/>
      <c r="H169" t="inlineStr"/>
      <c r="I169" t="inlineStr">
        <is>
          <t>95</t>
        </is>
      </c>
      <c r="J169" t="inlineStr"/>
      <c r="K169" t="inlineStr"/>
      <c r="L169" s="1">
        <f>HYPERLINK("https://www.hi.u-tokyo.ac.jp/collection/degitalgallary/ryukyu/item/10168", "https://www.hi.u-tokyo.ac.jp/collection/degitalgallary/ryukyu/item/10168")</f>
        <v/>
      </c>
    </row>
    <row r="170">
      <c r="A170" t="inlineStr">
        <is>
          <t>10169</t>
        </is>
      </c>
      <c r="B170" t="inlineStr">
        <is>
          <t>ほせ</t>
        </is>
      </c>
      <c r="C170" t="inlineStr">
        <is>
          <t>その他</t>
        </is>
      </c>
      <c r="D170" t="inlineStr"/>
      <c r="E170" t="inlineStr"/>
      <c r="F170" t="inlineStr">
        <is>
          <t>正保琉球国絵図写</t>
        </is>
      </c>
      <c r="G170" t="inlineStr"/>
      <c r="H170" t="inlineStr"/>
      <c r="I170" t="inlineStr">
        <is>
          <t>96</t>
        </is>
      </c>
      <c r="J170" t="inlineStr"/>
      <c r="K170" t="inlineStr"/>
      <c r="L170" s="1">
        <f>HYPERLINK("https://www.hi.u-tokyo.ac.jp/collection/degitalgallary/ryukyu/item/10169", "https://www.hi.u-tokyo.ac.jp/collection/degitalgallary/ryukyu/item/10169")</f>
        <v/>
      </c>
    </row>
    <row r="171">
      <c r="A171" t="inlineStr">
        <is>
          <t>10170</t>
        </is>
      </c>
      <c r="B171" t="inlineStr">
        <is>
          <t>こほれん崎</t>
        </is>
      </c>
      <c r="C171" t="inlineStr">
        <is>
          <t>崎</t>
        </is>
      </c>
      <c r="D171" t="inlineStr">
        <is>
          <t>28.2757994</t>
        </is>
      </c>
      <c r="E171" t="inlineStr">
        <is>
          <t>129.279128</t>
        </is>
      </c>
      <c r="F171" t="inlineStr">
        <is>
          <t>正保琉球国絵図写</t>
        </is>
      </c>
      <c r="G171" t="inlineStr"/>
      <c r="H171" t="inlineStr"/>
      <c r="I171" t="inlineStr">
        <is>
          <t>97</t>
        </is>
      </c>
      <c r="J171" t="inlineStr"/>
      <c r="K171" t="inlineStr">
        <is>
          <t>鹿児島県大島郡宇検村須古</t>
        </is>
      </c>
      <c r="L171" s="1">
        <f>HYPERLINK("https://www.hi.u-tokyo.ac.jp/collection/degitalgallary/ryukyu/item/10170", "https://www.hi.u-tokyo.ac.jp/collection/degitalgallary/ryukyu/item/10170")</f>
        <v/>
      </c>
    </row>
    <row r="172">
      <c r="A172" t="inlineStr">
        <is>
          <t>10171</t>
        </is>
      </c>
      <c r="B172" t="inlineStr">
        <is>
          <t>焼内湊</t>
        </is>
      </c>
      <c r="C172" t="inlineStr">
        <is>
          <t>港湾</t>
        </is>
      </c>
      <c r="D172" t="inlineStr"/>
      <c r="E172" t="inlineStr"/>
      <c r="F172" t="inlineStr">
        <is>
          <t>正保琉球国絵図写</t>
        </is>
      </c>
      <c r="G172" t="inlineStr">
        <is>
          <t>此焼内湊、入三里、広サ三十町、深サ三十尋、船繋リ場何風ニ而も自由、大船弐百艘程繋ル</t>
        </is>
      </c>
      <c r="H172" t="inlineStr"/>
      <c r="I172" t="inlineStr">
        <is>
          <t>98</t>
        </is>
      </c>
      <c r="J172" t="inlineStr"/>
      <c r="K172" t="inlineStr"/>
      <c r="L172" s="1">
        <f>HYPERLINK("https://www.hi.u-tokyo.ac.jp/collection/degitalgallary/ryukyu/item/10171", "https://www.hi.u-tokyo.ac.jp/collection/degitalgallary/ryukyu/item/10171")</f>
        <v/>
      </c>
    </row>
    <row r="173">
      <c r="A173" t="inlineStr">
        <is>
          <t>10172</t>
        </is>
      </c>
      <c r="B173" t="inlineStr">
        <is>
          <t>おり崎</t>
        </is>
      </c>
      <c r="C173" t="inlineStr">
        <is>
          <t>崎</t>
        </is>
      </c>
      <c r="D173" t="inlineStr">
        <is>
          <t>28.2649291</t>
        </is>
      </c>
      <c r="E173" t="inlineStr">
        <is>
          <t>129.2552956</t>
        </is>
      </c>
      <c r="F173" t="inlineStr">
        <is>
          <t>正保琉球国絵図写</t>
        </is>
      </c>
      <c r="G173" t="inlineStr"/>
      <c r="H173" t="inlineStr"/>
      <c r="I173" t="inlineStr">
        <is>
          <t>99</t>
        </is>
      </c>
      <c r="J173" t="inlineStr"/>
      <c r="K173" t="inlineStr">
        <is>
          <t>鹿児島県大島郡宇検村名柄</t>
        </is>
      </c>
      <c r="L173" s="1">
        <f>HYPERLINK("https://www.hi.u-tokyo.ac.jp/collection/degitalgallary/ryukyu/item/10172", "https://www.hi.u-tokyo.ac.jp/collection/degitalgallary/ryukyu/item/10172")</f>
        <v/>
      </c>
    </row>
    <row r="174">
      <c r="A174" t="inlineStr">
        <is>
          <t>10173</t>
        </is>
      </c>
      <c r="B174" t="inlineStr">
        <is>
          <t>白田崎</t>
        </is>
      </c>
      <c r="C174" t="inlineStr">
        <is>
          <t>崎</t>
        </is>
      </c>
      <c r="D174" t="inlineStr">
        <is>
          <t>28.266926</t>
        </is>
      </c>
      <c r="E174" t="inlineStr">
        <is>
          <t>129.2431216</t>
        </is>
      </c>
      <c r="F174" t="inlineStr">
        <is>
          <t>正保琉球国絵図写</t>
        </is>
      </c>
      <c r="G174" t="inlineStr"/>
      <c r="H174" t="inlineStr"/>
      <c r="I174" t="inlineStr">
        <is>
          <t>100</t>
        </is>
      </c>
      <c r="J174" t="inlineStr"/>
      <c r="K174" t="inlineStr">
        <is>
          <t>鹿児島県大島郡宇検村佐念</t>
        </is>
      </c>
      <c r="L174" s="1">
        <f>HYPERLINK("https://www.hi.u-tokyo.ac.jp/collection/degitalgallary/ryukyu/item/10173", "https://www.hi.u-tokyo.ac.jp/collection/degitalgallary/ryukyu/item/10173")</f>
        <v/>
      </c>
    </row>
    <row r="175">
      <c r="A175" t="inlineStr">
        <is>
          <t>10174</t>
        </is>
      </c>
      <c r="B175" t="inlineStr">
        <is>
          <t>大だへん崎</t>
        </is>
      </c>
      <c r="C175" t="inlineStr">
        <is>
          <t>崎</t>
        </is>
      </c>
      <c r="D175" t="inlineStr">
        <is>
          <t>28.2692137</t>
        </is>
      </c>
      <c r="E175" t="inlineStr">
        <is>
          <t>129.2141101</t>
        </is>
      </c>
      <c r="F175" t="inlineStr">
        <is>
          <t>正保琉球国絵図写</t>
        </is>
      </c>
      <c r="G175" t="inlineStr"/>
      <c r="H175" t="inlineStr"/>
      <c r="I175" t="inlineStr">
        <is>
          <t>101</t>
        </is>
      </c>
      <c r="J175" t="inlineStr"/>
      <c r="K175" t="inlineStr">
        <is>
          <t>鹿児島県大島郡宇検村平田</t>
        </is>
      </c>
      <c r="L175" s="1">
        <f>HYPERLINK("https://www.hi.u-tokyo.ac.jp/collection/degitalgallary/ryukyu/item/10174", "https://www.hi.u-tokyo.ac.jp/collection/degitalgallary/ryukyu/item/10174")</f>
        <v/>
      </c>
    </row>
    <row r="176">
      <c r="A176" t="inlineStr">
        <is>
          <t>10175</t>
        </is>
      </c>
      <c r="B176" t="inlineStr">
        <is>
          <t>宮崎</t>
        </is>
      </c>
      <c r="C176" t="inlineStr">
        <is>
          <t>崎</t>
        </is>
      </c>
      <c r="D176" t="inlineStr">
        <is>
          <t>28.261969</t>
        </is>
      </c>
      <c r="E176" t="inlineStr">
        <is>
          <t>129.1991499</t>
        </is>
      </c>
      <c r="F176" t="inlineStr">
        <is>
          <t>正保琉球国絵図写</t>
        </is>
      </c>
      <c r="G176" t="inlineStr"/>
      <c r="H176" t="inlineStr"/>
      <c r="I176" t="inlineStr">
        <is>
          <t>102</t>
        </is>
      </c>
      <c r="J176" t="inlineStr"/>
      <c r="K176" t="inlineStr">
        <is>
          <t>鹿児島県大島郡宇検村阿室</t>
        </is>
      </c>
      <c r="L176" s="1">
        <f>HYPERLINK("https://www.hi.u-tokyo.ac.jp/collection/degitalgallary/ryukyu/item/10175", "https://www.hi.u-tokyo.ac.jp/collection/degitalgallary/ryukyu/item/10175")</f>
        <v/>
      </c>
    </row>
    <row r="177">
      <c r="A177" t="inlineStr">
        <is>
          <t>10176</t>
        </is>
      </c>
      <c r="B177" t="inlineStr">
        <is>
          <t>やとん崎</t>
        </is>
      </c>
      <c r="C177" t="inlineStr">
        <is>
          <t>崎</t>
        </is>
      </c>
      <c r="D177" t="inlineStr">
        <is>
          <t>28.2698368</t>
        </is>
      </c>
      <c r="E177" t="inlineStr">
        <is>
          <t>129.181532</t>
        </is>
      </c>
      <c r="F177" t="inlineStr">
        <is>
          <t>正保琉球国絵図写</t>
        </is>
      </c>
      <c r="G177" t="inlineStr"/>
      <c r="H177" t="inlineStr"/>
      <c r="I177" t="inlineStr">
        <is>
          <t>103</t>
        </is>
      </c>
      <c r="J177" t="inlineStr"/>
      <c r="K177" t="inlineStr">
        <is>
          <t>鹿児島県大島郡宇検村屋鈍</t>
        </is>
      </c>
      <c r="L177" s="1">
        <f>HYPERLINK("https://www.hi.u-tokyo.ac.jp/collection/degitalgallary/ryukyu/item/10176", "https://www.hi.u-tokyo.ac.jp/collection/degitalgallary/ryukyu/item/10176")</f>
        <v/>
      </c>
    </row>
    <row r="178">
      <c r="A178" t="inlineStr">
        <is>
          <t>10177</t>
        </is>
      </c>
      <c r="B178" t="inlineStr">
        <is>
          <t>焼内湊より西之古見湊迄、海上三里</t>
        </is>
      </c>
      <c r="C178" t="inlineStr">
        <is>
          <t>航路</t>
        </is>
      </c>
      <c r="D178" t="inlineStr"/>
      <c r="E178" t="inlineStr"/>
      <c r="F178" t="inlineStr">
        <is>
          <t>正保琉球国絵図写</t>
        </is>
      </c>
      <c r="G178" t="inlineStr"/>
      <c r="H178" t="inlineStr"/>
      <c r="I178" t="inlineStr">
        <is>
          <t>104</t>
        </is>
      </c>
      <c r="J178" t="inlineStr"/>
      <c r="K178" t="inlineStr"/>
      <c r="L178" s="1">
        <f>HYPERLINK("https://www.hi.u-tokyo.ac.jp/collection/degitalgallary/ryukyu/item/10177", "https://www.hi.u-tokyo.ac.jp/collection/degitalgallary/ryukyu/item/10177")</f>
        <v/>
      </c>
    </row>
    <row r="179">
      <c r="A179" t="inlineStr">
        <is>
          <t>10178</t>
        </is>
      </c>
      <c r="B179" t="inlineStr">
        <is>
          <t>とのはら</t>
        </is>
      </c>
      <c r="C179" t="inlineStr">
        <is>
          <t>その他</t>
        </is>
      </c>
      <c r="D179" t="inlineStr">
        <is>
          <t>28.254108</t>
        </is>
      </c>
      <c r="E179" t="inlineStr">
        <is>
          <t>129.134148</t>
        </is>
      </c>
      <c r="F179" t="inlineStr">
        <is>
          <t>正保琉球国絵図写</t>
        </is>
      </c>
      <c r="G179" t="inlineStr"/>
      <c r="H179" t="inlineStr"/>
      <c r="I179" t="inlineStr">
        <is>
          <t>105</t>
        </is>
      </c>
      <c r="J179" t="inlineStr"/>
      <c r="K179" t="inlineStr">
        <is>
          <t>鹿児島県大島郡瀬戸内町西古見</t>
        </is>
      </c>
      <c r="L179" s="1">
        <f>HYPERLINK("https://www.hi.u-tokyo.ac.jp/collection/degitalgallary/ryukyu/item/10178", "https://www.hi.u-tokyo.ac.jp/collection/degitalgallary/ryukyu/item/10178")</f>
        <v/>
      </c>
    </row>
    <row r="180">
      <c r="A180" t="inlineStr">
        <is>
          <t>10179</t>
        </is>
      </c>
      <c r="B180" t="inlineStr">
        <is>
          <t>そつかうのおかみ</t>
        </is>
      </c>
      <c r="C180" t="inlineStr">
        <is>
          <t>その他</t>
        </is>
      </c>
      <c r="D180" t="inlineStr">
        <is>
          <t>28.2510564</t>
        </is>
      </c>
      <c r="E180" t="inlineStr">
        <is>
          <t>129.1476098</t>
        </is>
      </c>
      <c r="F180" t="inlineStr">
        <is>
          <t>正保琉球国絵図写</t>
        </is>
      </c>
      <c r="G180" t="inlineStr"/>
      <c r="H180" t="inlineStr"/>
      <c r="I180" t="inlineStr">
        <is>
          <t>106</t>
        </is>
      </c>
      <c r="J180" t="inlineStr"/>
      <c r="K180" t="inlineStr">
        <is>
          <t>鹿児島県大島郡瀬戸内町西古見</t>
        </is>
      </c>
      <c r="L180" s="1">
        <f>HYPERLINK("https://www.hi.u-tokyo.ac.jp/collection/degitalgallary/ryukyu/item/10179", "https://www.hi.u-tokyo.ac.jp/collection/degitalgallary/ryukyu/item/10179")</f>
        <v/>
      </c>
    </row>
    <row r="181">
      <c r="A181" t="inlineStr">
        <is>
          <t>10180</t>
        </is>
      </c>
      <c r="B181" t="inlineStr">
        <is>
          <t>ゑらふ瀬</t>
        </is>
      </c>
      <c r="C181" t="inlineStr">
        <is>
          <t>干瀬</t>
        </is>
      </c>
      <c r="D181" t="inlineStr">
        <is>
          <t>28.2382311</t>
        </is>
      </c>
      <c r="E181" t="inlineStr">
        <is>
          <t>129.1563387</t>
        </is>
      </c>
      <c r="F181" t="inlineStr">
        <is>
          <t>正保琉球国絵図写</t>
        </is>
      </c>
      <c r="G181" t="inlineStr"/>
      <c r="H181" t="inlineStr"/>
      <c r="I181" t="inlineStr">
        <is>
          <t>107</t>
        </is>
      </c>
      <c r="J181" t="inlineStr"/>
      <c r="K181" t="inlineStr">
        <is>
          <t>鹿児島県大島郡瀬戸内町西古見</t>
        </is>
      </c>
      <c r="L181" s="1">
        <f>HYPERLINK("https://www.hi.u-tokyo.ac.jp/collection/degitalgallary/ryukyu/item/10180", "https://www.hi.u-tokyo.ac.jp/collection/degitalgallary/ryukyu/item/10180")</f>
        <v/>
      </c>
    </row>
    <row r="182">
      <c r="A182" t="inlineStr">
        <is>
          <t>10181</t>
        </is>
      </c>
      <c r="B182" t="inlineStr">
        <is>
          <t>奥立神</t>
        </is>
      </c>
      <c r="C182" t="inlineStr">
        <is>
          <t>その他</t>
        </is>
      </c>
      <c r="D182" t="inlineStr">
        <is>
          <t>28.228794</t>
        </is>
      </c>
      <c r="E182" t="inlineStr">
        <is>
          <t>129.1625479</t>
        </is>
      </c>
      <c r="F182" t="inlineStr">
        <is>
          <t>正保琉球国絵図写</t>
        </is>
      </c>
      <c r="G182" t="inlineStr"/>
      <c r="H182" t="inlineStr"/>
      <c r="I182" t="inlineStr">
        <is>
          <t>108</t>
        </is>
      </c>
      <c r="J182" t="inlineStr"/>
      <c r="K182" t="inlineStr">
        <is>
          <t>鹿児島県大島郡瀬戸内町西古見</t>
        </is>
      </c>
      <c r="L182" s="1">
        <f>HYPERLINK("https://www.hi.u-tokyo.ac.jp/collection/degitalgallary/ryukyu/item/10181", "https://www.hi.u-tokyo.ac.jp/collection/degitalgallary/ryukyu/item/10181")</f>
        <v/>
      </c>
    </row>
    <row r="183">
      <c r="A183" t="inlineStr">
        <is>
          <t>10182</t>
        </is>
      </c>
      <c r="B183" t="inlineStr">
        <is>
          <t>此西之古見湊、入五拾間、広サ三十間、深さ三拾壱尋、大船四五艘程繋ル、南風ニ船かゝり不成</t>
        </is>
      </c>
      <c r="C183" t="inlineStr">
        <is>
          <t>港湾</t>
        </is>
      </c>
      <c r="D183" t="inlineStr"/>
      <c r="E183" t="inlineStr"/>
      <c r="F183" t="inlineStr">
        <is>
          <t>正保琉球国絵図写</t>
        </is>
      </c>
      <c r="G183" t="inlineStr"/>
      <c r="H183" t="inlineStr"/>
      <c r="I183" t="inlineStr">
        <is>
          <t>109</t>
        </is>
      </c>
      <c r="J183" t="inlineStr"/>
      <c r="K183" t="inlineStr"/>
      <c r="L183" s="1">
        <f>HYPERLINK("https://www.hi.u-tokyo.ac.jp/collection/degitalgallary/ryukyu/item/10182", "https://www.hi.u-tokyo.ac.jp/collection/degitalgallary/ryukyu/item/10182")</f>
        <v/>
      </c>
    </row>
    <row r="184">
      <c r="A184" t="inlineStr">
        <is>
          <t>10183</t>
        </is>
      </c>
      <c r="B184" t="inlineStr">
        <is>
          <t>通り瀬</t>
        </is>
      </c>
      <c r="C184" t="inlineStr">
        <is>
          <t>干瀬</t>
        </is>
      </c>
      <c r="D184" t="inlineStr">
        <is>
          <t>28.2282331</t>
        </is>
      </c>
      <c r="E184" t="inlineStr">
        <is>
          <t>129.1736158</t>
        </is>
      </c>
      <c r="F184" t="inlineStr">
        <is>
          <t>正保琉球国絵図写</t>
        </is>
      </c>
      <c r="G184" t="inlineStr"/>
      <c r="H184" t="inlineStr"/>
      <c r="I184" t="inlineStr">
        <is>
          <t>110</t>
        </is>
      </c>
      <c r="J184" t="inlineStr"/>
      <c r="K184" t="inlineStr">
        <is>
          <t>鹿児島県大島郡瀬戸内町西古見</t>
        </is>
      </c>
      <c r="L184" s="1">
        <f>HYPERLINK("https://www.hi.u-tokyo.ac.jp/collection/degitalgallary/ryukyu/item/10183", "https://www.hi.u-tokyo.ac.jp/collection/degitalgallary/ryukyu/item/10183")</f>
        <v/>
      </c>
    </row>
    <row r="185">
      <c r="A185" t="inlineStr">
        <is>
          <t>10184</t>
        </is>
      </c>
      <c r="B185" t="inlineStr">
        <is>
          <t>赤瀬</t>
        </is>
      </c>
      <c r="C185" t="inlineStr">
        <is>
          <t>干瀬</t>
        </is>
      </c>
      <c r="D185" t="inlineStr">
        <is>
          <t>28.2049967</t>
        </is>
      </c>
      <c r="E185" t="inlineStr">
        <is>
          <t>129.1508582</t>
        </is>
      </c>
      <c r="F185" t="inlineStr">
        <is>
          <t>正保琉球国絵図写</t>
        </is>
      </c>
      <c r="G185" t="inlineStr"/>
      <c r="H185" t="inlineStr"/>
      <c r="I185" t="inlineStr">
        <is>
          <t>111</t>
        </is>
      </c>
      <c r="J185" t="inlineStr"/>
      <c r="K185" t="inlineStr">
        <is>
          <t>鹿児島県大島郡瀬戸内町実久</t>
        </is>
      </c>
      <c r="L185" s="1">
        <f>HYPERLINK("https://www.hi.u-tokyo.ac.jp/collection/degitalgallary/ryukyu/item/10184", "https://www.hi.u-tokyo.ac.jp/collection/degitalgallary/ryukyu/item/10184")</f>
        <v/>
      </c>
    </row>
    <row r="186">
      <c r="A186" t="inlineStr">
        <is>
          <t>10185</t>
        </is>
      </c>
      <c r="B186" t="inlineStr">
        <is>
          <t>ゑたな</t>
        </is>
      </c>
      <c r="C186" t="inlineStr">
        <is>
          <t>その他</t>
        </is>
      </c>
      <c r="D186" t="inlineStr">
        <is>
          <t>28.2255721</t>
        </is>
      </c>
      <c r="E186" t="inlineStr">
        <is>
          <t>129.1872403</t>
        </is>
      </c>
      <c r="F186" t="inlineStr">
        <is>
          <t>正保琉球国絵図写</t>
        </is>
      </c>
      <c r="G186" t="inlineStr"/>
      <c r="H186" t="inlineStr"/>
      <c r="I186" t="inlineStr">
        <is>
          <t>112</t>
        </is>
      </c>
      <c r="J186" t="inlineStr"/>
      <c r="K186" t="inlineStr">
        <is>
          <t>鹿児島県大島郡瀬戸内町管鈍</t>
        </is>
      </c>
      <c r="L186" s="1">
        <f>HYPERLINK("https://www.hi.u-tokyo.ac.jp/collection/degitalgallary/ryukyu/item/10185", "https://www.hi.u-tokyo.ac.jp/collection/degitalgallary/ryukyu/item/10185")</f>
        <v/>
      </c>
    </row>
    <row r="187">
      <c r="A187" t="inlineStr">
        <is>
          <t>10186</t>
        </is>
      </c>
      <c r="B187" t="inlineStr">
        <is>
          <t>通り瀬</t>
        </is>
      </c>
      <c r="C187" t="inlineStr">
        <is>
          <t>干瀬</t>
        </is>
      </c>
      <c r="D187" t="inlineStr">
        <is>
          <t>28.2286891</t>
        </is>
      </c>
      <c r="E187" t="inlineStr">
        <is>
          <t>129.194498</t>
        </is>
      </c>
      <c r="F187" t="inlineStr">
        <is>
          <t>正保琉球国絵図写</t>
        </is>
      </c>
      <c r="G187" t="inlineStr"/>
      <c r="H187" t="inlineStr"/>
      <c r="I187" t="inlineStr">
        <is>
          <t>113</t>
        </is>
      </c>
      <c r="J187" t="inlineStr"/>
      <c r="K187" t="inlineStr">
        <is>
          <t>鹿児島県大島郡瀬戸内町管鈍</t>
        </is>
      </c>
      <c r="L187" s="1">
        <f>HYPERLINK("https://www.hi.u-tokyo.ac.jp/collection/degitalgallary/ryukyu/item/10186", "https://www.hi.u-tokyo.ac.jp/collection/degitalgallary/ryukyu/item/10186")</f>
        <v/>
      </c>
    </row>
    <row r="188">
      <c r="A188" t="inlineStr">
        <is>
          <t>10187</t>
        </is>
      </c>
      <c r="B188" t="inlineStr">
        <is>
          <t>玉のうら崎</t>
        </is>
      </c>
      <c r="C188" t="inlineStr">
        <is>
          <t>崎</t>
        </is>
      </c>
      <c r="D188" t="inlineStr">
        <is>
          <t>28.2207737</t>
        </is>
      </c>
      <c r="E188" t="inlineStr">
        <is>
          <t>129.2114463</t>
        </is>
      </c>
      <c r="F188" t="inlineStr">
        <is>
          <t>正保琉球国絵図写</t>
        </is>
      </c>
      <c r="G188" t="inlineStr"/>
      <c r="H188" t="inlineStr"/>
      <c r="I188" t="inlineStr">
        <is>
          <t>114</t>
        </is>
      </c>
      <c r="J188" t="inlineStr"/>
      <c r="K188" t="inlineStr">
        <is>
          <t>鹿児島県大島郡瀬戸内町花天</t>
        </is>
      </c>
      <c r="L188" s="1">
        <f>HYPERLINK("https://www.hi.u-tokyo.ac.jp/collection/degitalgallary/ryukyu/item/10187", "https://www.hi.u-tokyo.ac.jp/collection/degitalgallary/ryukyu/item/10187")</f>
        <v/>
      </c>
    </row>
    <row r="189">
      <c r="A189" t="inlineStr">
        <is>
          <t>10188</t>
        </is>
      </c>
      <c r="B189" t="inlineStr">
        <is>
          <t>一ツ玉</t>
        </is>
      </c>
      <c r="C189" t="inlineStr">
        <is>
          <t>その他</t>
        </is>
      </c>
      <c r="D189" t="inlineStr">
        <is>
          <t>28.220865</t>
        </is>
      </c>
      <c r="E189" t="inlineStr">
        <is>
          <t>129.2286854</t>
        </is>
      </c>
      <c r="F189" t="inlineStr">
        <is>
          <t>正保琉球国絵図写</t>
        </is>
      </c>
      <c r="G189" t="inlineStr"/>
      <c r="H189" t="inlineStr"/>
      <c r="I189" t="inlineStr">
        <is>
          <t>115</t>
        </is>
      </c>
      <c r="J189" t="inlineStr"/>
      <c r="K189" t="inlineStr">
        <is>
          <t>鹿児島県大島郡瀬戸内町花天</t>
        </is>
      </c>
      <c r="L189" s="1">
        <f>HYPERLINK("https://www.hi.u-tokyo.ac.jp/collection/degitalgallary/ryukyu/item/10188", "https://www.hi.u-tokyo.ac.jp/collection/degitalgallary/ryukyu/item/10188")</f>
        <v/>
      </c>
    </row>
    <row r="190">
      <c r="A190" t="inlineStr">
        <is>
          <t>10189</t>
        </is>
      </c>
      <c r="B190" t="inlineStr">
        <is>
          <t>あふねの崎</t>
        </is>
      </c>
      <c r="C190" t="inlineStr">
        <is>
          <t>崎</t>
        </is>
      </c>
      <c r="D190" t="inlineStr">
        <is>
          <t>28.2075948</t>
        </is>
      </c>
      <c r="E190" t="inlineStr">
        <is>
          <t>129.253447</t>
        </is>
      </c>
      <c r="F190" t="inlineStr">
        <is>
          <t>正保琉球国絵図写</t>
        </is>
      </c>
      <c r="G190" t="inlineStr"/>
      <c r="H190" t="inlineStr"/>
      <c r="I190" t="inlineStr">
        <is>
          <t>116</t>
        </is>
      </c>
      <c r="J190" t="inlineStr"/>
      <c r="K190" t="inlineStr">
        <is>
          <t>鹿児島県大島郡瀬戸内町久慈</t>
        </is>
      </c>
      <c r="L190" s="1">
        <f>HYPERLINK("https://www.hi.u-tokyo.ac.jp/collection/degitalgallary/ryukyu/item/10189", "https://www.hi.u-tokyo.ac.jp/collection/degitalgallary/ryukyu/item/10189")</f>
        <v/>
      </c>
    </row>
    <row r="191">
      <c r="A191" t="inlineStr">
        <is>
          <t>10190</t>
        </is>
      </c>
      <c r="B191" t="inlineStr">
        <is>
          <t>長ひちや</t>
        </is>
      </c>
      <c r="C191" t="inlineStr">
        <is>
          <t>その他</t>
        </is>
      </c>
      <c r="D191" t="inlineStr">
        <is>
          <t>28.2280101</t>
        </is>
      </c>
      <c r="E191" t="inlineStr">
        <is>
          <t>129.2641474</t>
        </is>
      </c>
      <c r="F191" t="inlineStr">
        <is>
          <t>正保琉球国絵図写</t>
        </is>
      </c>
      <c r="G191" t="inlineStr"/>
      <c r="H191" t="inlineStr"/>
      <c r="I191" t="inlineStr">
        <is>
          <t>117</t>
        </is>
      </c>
      <c r="J191" t="inlineStr"/>
      <c r="K191" t="inlineStr">
        <is>
          <t>鹿児島県大島郡瀬戸内町古志</t>
        </is>
      </c>
      <c r="L191" s="1">
        <f>HYPERLINK("https://www.hi.u-tokyo.ac.jp/collection/degitalgallary/ryukyu/item/10190", "https://www.hi.u-tokyo.ac.jp/collection/degitalgallary/ryukyu/item/10190")</f>
        <v/>
      </c>
    </row>
    <row r="192">
      <c r="A192" t="inlineStr">
        <is>
          <t>10191</t>
        </is>
      </c>
      <c r="B192" t="inlineStr">
        <is>
          <t>長崎</t>
        </is>
      </c>
      <c r="C192" t="inlineStr">
        <is>
          <t>崎</t>
        </is>
      </c>
      <c r="D192" t="inlineStr">
        <is>
          <t>28.2303848</t>
        </is>
      </c>
      <c r="E192" t="inlineStr">
        <is>
          <t>129.2697372</t>
        </is>
      </c>
      <c r="F192" t="inlineStr">
        <is>
          <t>正保琉球国絵図写</t>
        </is>
      </c>
      <c r="G192" t="inlineStr"/>
      <c r="H192" t="inlineStr"/>
      <c r="I192" t="inlineStr">
        <is>
          <t>118</t>
        </is>
      </c>
      <c r="J192" t="inlineStr"/>
      <c r="K192" t="inlineStr">
        <is>
          <t>鹿児島県大島郡瀬戸内町古志</t>
        </is>
      </c>
      <c r="L192" s="1">
        <f>HYPERLINK("https://www.hi.u-tokyo.ac.jp/collection/degitalgallary/ryukyu/item/10191", "https://www.hi.u-tokyo.ac.jp/collection/degitalgallary/ryukyu/item/10191")</f>
        <v/>
      </c>
    </row>
    <row r="193">
      <c r="A193" t="inlineStr">
        <is>
          <t>10192</t>
        </is>
      </c>
      <c r="B193" t="inlineStr">
        <is>
          <t>さかい崎</t>
        </is>
      </c>
      <c r="C193" t="inlineStr">
        <is>
          <t>崎</t>
        </is>
      </c>
      <c r="D193" t="inlineStr">
        <is>
          <t>28.2169185</t>
        </is>
      </c>
      <c r="E193" t="inlineStr">
        <is>
          <t>129.2661437</t>
        </is>
      </c>
      <c r="F193" t="inlineStr">
        <is>
          <t>正保琉球国絵図写</t>
        </is>
      </c>
      <c r="G193" t="inlineStr"/>
      <c r="H193" t="inlineStr"/>
      <c r="I193" t="inlineStr">
        <is>
          <t>119</t>
        </is>
      </c>
      <c r="J193" t="inlineStr"/>
      <c r="K193" t="inlineStr">
        <is>
          <t>鹿児島県大島郡瀬戸内町古志</t>
        </is>
      </c>
      <c r="L193" s="1">
        <f>HYPERLINK("https://www.hi.u-tokyo.ac.jp/collection/degitalgallary/ryukyu/item/10192", "https://www.hi.u-tokyo.ac.jp/collection/degitalgallary/ryukyu/item/10192")</f>
        <v/>
      </c>
    </row>
    <row r="194">
      <c r="A194" t="inlineStr">
        <is>
          <t>10193</t>
        </is>
      </c>
      <c r="B194" t="inlineStr">
        <is>
          <t>しよんま崎</t>
        </is>
      </c>
      <c r="C194" t="inlineStr">
        <is>
          <t>崎</t>
        </is>
      </c>
      <c r="D194" t="inlineStr">
        <is>
          <t>28.2218604</t>
        </is>
      </c>
      <c r="E194" t="inlineStr">
        <is>
          <t>129.2915732</t>
        </is>
      </c>
      <c r="F194" t="inlineStr">
        <is>
          <t>正保琉球国絵図写</t>
        </is>
      </c>
      <c r="G194" t="inlineStr"/>
      <c r="H194" t="inlineStr"/>
      <c r="I194" t="inlineStr">
        <is>
          <t>120</t>
        </is>
      </c>
      <c r="J194" t="inlineStr"/>
      <c r="K194" t="inlineStr">
        <is>
          <t>鹿児島県大島郡瀬戸内町篠川</t>
        </is>
      </c>
      <c r="L194" s="1">
        <f>HYPERLINK("https://www.hi.u-tokyo.ac.jp/collection/degitalgallary/ryukyu/item/10193", "https://www.hi.u-tokyo.ac.jp/collection/degitalgallary/ryukyu/item/10193")</f>
        <v/>
      </c>
    </row>
    <row r="195">
      <c r="A195" t="inlineStr">
        <is>
          <t>10194</t>
        </is>
      </c>
      <c r="B195" t="inlineStr">
        <is>
          <t>宮田崎</t>
        </is>
      </c>
      <c r="C195" t="inlineStr">
        <is>
          <t>崎</t>
        </is>
      </c>
      <c r="D195" t="inlineStr">
        <is>
          <t>28.2167373</t>
        </is>
      </c>
      <c r="E195" t="inlineStr">
        <is>
          <t>129.2864406</t>
        </is>
      </c>
      <c r="F195" t="inlineStr">
        <is>
          <t>正保琉球国絵図写</t>
        </is>
      </c>
      <c r="G195" t="inlineStr"/>
      <c r="H195" t="inlineStr"/>
      <c r="I195" t="inlineStr">
        <is>
          <t>121</t>
        </is>
      </c>
      <c r="J195" t="inlineStr"/>
      <c r="K195" t="inlineStr">
        <is>
          <t>鹿児島県大島郡瀬戸内町阿室釜</t>
        </is>
      </c>
      <c r="L195" s="1">
        <f>HYPERLINK("https://www.hi.u-tokyo.ac.jp/collection/degitalgallary/ryukyu/item/10194", "https://www.hi.u-tokyo.ac.jp/collection/degitalgallary/ryukyu/item/10194")</f>
        <v/>
      </c>
    </row>
    <row r="196">
      <c r="A196" t="inlineStr">
        <is>
          <t>10195</t>
        </is>
      </c>
      <c r="B196" t="inlineStr">
        <is>
          <t>つはく崎</t>
        </is>
      </c>
      <c r="C196" t="inlineStr">
        <is>
          <t>崎</t>
        </is>
      </c>
      <c r="D196" t="inlineStr">
        <is>
          <t>28.1842622</t>
        </is>
      </c>
      <c r="E196" t="inlineStr">
        <is>
          <t>129.2635209</t>
        </is>
      </c>
      <c r="F196" t="inlineStr">
        <is>
          <t>正保琉球国絵図写</t>
        </is>
      </c>
      <c r="G196" t="inlineStr"/>
      <c r="H196" t="inlineStr"/>
      <c r="I196" t="inlineStr">
        <is>
          <t>122</t>
        </is>
      </c>
      <c r="J196" t="inlineStr"/>
      <c r="K196" t="inlineStr">
        <is>
          <t>鹿児島県大島郡瀬戸内町阿室釜</t>
        </is>
      </c>
      <c r="L196" s="1">
        <f>HYPERLINK("https://www.hi.u-tokyo.ac.jp/collection/degitalgallary/ryukyu/item/10195", "https://www.hi.u-tokyo.ac.jp/collection/degitalgallary/ryukyu/item/10195")</f>
        <v/>
      </c>
    </row>
    <row r="197">
      <c r="A197" t="inlineStr">
        <is>
          <t>10196</t>
        </is>
      </c>
      <c r="B197" t="inlineStr">
        <is>
          <t>あだんけ崎</t>
        </is>
      </c>
      <c r="C197" t="inlineStr">
        <is>
          <t>崎</t>
        </is>
      </c>
      <c r="D197" t="inlineStr">
        <is>
          <t>28.1831287</t>
        </is>
      </c>
      <c r="E197" t="inlineStr">
        <is>
          <t>129.2739289</t>
        </is>
      </c>
      <c r="F197" t="inlineStr">
        <is>
          <t>正保琉球国絵図写</t>
        </is>
      </c>
      <c r="G197" t="inlineStr"/>
      <c r="H197" t="inlineStr"/>
      <c r="I197" t="inlineStr">
        <is>
          <t>123</t>
        </is>
      </c>
      <c r="J197" t="inlineStr"/>
      <c r="K197" t="inlineStr">
        <is>
          <t>鹿児島県大島郡瀬戸内町小名瀬</t>
        </is>
      </c>
      <c r="L197" s="1">
        <f>HYPERLINK("https://www.hi.u-tokyo.ac.jp/collection/degitalgallary/ryukyu/item/10196", "https://www.hi.u-tokyo.ac.jp/collection/degitalgallary/ryukyu/item/10196")</f>
        <v/>
      </c>
    </row>
    <row r="198">
      <c r="A198" t="inlineStr">
        <is>
          <t>10197</t>
        </is>
      </c>
      <c r="B198" t="inlineStr">
        <is>
          <t>なん崎</t>
        </is>
      </c>
      <c r="C198" t="inlineStr">
        <is>
          <t>崎</t>
        </is>
      </c>
      <c r="D198" t="inlineStr">
        <is>
          <t>28.1892498</t>
        </is>
      </c>
      <c r="E198" t="inlineStr">
        <is>
          <t>129.2852571</t>
        </is>
      </c>
      <c r="F198" t="inlineStr">
        <is>
          <t>正保琉球国絵図写</t>
        </is>
      </c>
      <c r="G198" t="inlineStr"/>
      <c r="H198" t="inlineStr"/>
      <c r="I198" t="inlineStr">
        <is>
          <t>124</t>
        </is>
      </c>
      <c r="J198" t="inlineStr"/>
      <c r="K198" t="inlineStr">
        <is>
          <t>鹿児島県大島郡瀬戸内町小名瀬</t>
        </is>
      </c>
      <c r="L198" s="1">
        <f>HYPERLINK("https://www.hi.u-tokyo.ac.jp/collection/degitalgallary/ryukyu/item/10197", "https://www.hi.u-tokyo.ac.jp/collection/degitalgallary/ryukyu/item/10197")</f>
        <v/>
      </c>
    </row>
    <row r="199">
      <c r="A199" t="inlineStr">
        <is>
          <t>10198</t>
        </is>
      </c>
      <c r="B199" t="inlineStr">
        <is>
          <t>ゆい崎</t>
        </is>
      </c>
      <c r="C199" t="inlineStr">
        <is>
          <t>崎</t>
        </is>
      </c>
      <c r="D199" t="inlineStr">
        <is>
          <t>28.1782971</t>
        </is>
      </c>
      <c r="E199" t="inlineStr">
        <is>
          <t>129.2830391</t>
        </is>
      </c>
      <c r="F199" t="inlineStr">
        <is>
          <t>正保琉球国絵図写</t>
        </is>
      </c>
      <c r="G199" t="inlineStr"/>
      <c r="H199" t="inlineStr"/>
      <c r="I199" t="inlineStr">
        <is>
          <t>125</t>
        </is>
      </c>
      <c r="J199" t="inlineStr"/>
      <c r="K199" t="inlineStr">
        <is>
          <t>鹿児島県大島郡瀬戸内町阿鉄</t>
        </is>
      </c>
      <c r="L199" s="1">
        <f>HYPERLINK("https://www.hi.u-tokyo.ac.jp/collection/degitalgallary/ryukyu/item/10198", "https://www.hi.u-tokyo.ac.jp/collection/degitalgallary/ryukyu/item/10198")</f>
        <v/>
      </c>
    </row>
    <row r="200">
      <c r="A200" t="inlineStr">
        <is>
          <t>10199</t>
        </is>
      </c>
      <c r="B200" t="inlineStr">
        <is>
          <t>ゆい小嶋</t>
        </is>
      </c>
      <c r="C200" t="inlineStr">
        <is>
          <t>その他</t>
        </is>
      </c>
      <c r="D200" t="inlineStr">
        <is>
          <t>28.1741838</t>
        </is>
      </c>
      <c r="E200" t="inlineStr">
        <is>
          <t>129.2791929</t>
        </is>
      </c>
      <c r="F200" t="inlineStr">
        <is>
          <t>正保琉球国絵図写</t>
        </is>
      </c>
      <c r="G200" t="inlineStr"/>
      <c r="H200" t="inlineStr"/>
      <c r="I200" t="inlineStr">
        <is>
          <t>126</t>
        </is>
      </c>
      <c r="J200" t="inlineStr"/>
      <c r="K200" t="inlineStr">
        <is>
          <t>鹿児島県大島郡瀬戸内町阿鉄</t>
        </is>
      </c>
      <c r="L200" s="1">
        <f>HYPERLINK("https://www.hi.u-tokyo.ac.jp/collection/degitalgallary/ryukyu/item/10199", "https://www.hi.u-tokyo.ac.jp/collection/degitalgallary/ryukyu/item/10199")</f>
        <v/>
      </c>
    </row>
    <row r="201">
      <c r="A201" t="inlineStr">
        <is>
          <t>10200</t>
        </is>
      </c>
      <c r="B201" t="inlineStr">
        <is>
          <t>つふから崎</t>
        </is>
      </c>
      <c r="C201" t="inlineStr">
        <is>
          <t>崎</t>
        </is>
      </c>
      <c r="D201" t="inlineStr">
        <is>
          <t>28.1677202</t>
        </is>
      </c>
      <c r="E201" t="inlineStr">
        <is>
          <t>129.2878497</t>
        </is>
      </c>
      <c r="F201" t="inlineStr">
        <is>
          <t>正保琉球国絵図写</t>
        </is>
      </c>
      <c r="G201" t="inlineStr"/>
      <c r="H201" t="inlineStr"/>
      <c r="I201" t="inlineStr">
        <is>
          <t>127</t>
        </is>
      </c>
      <c r="J201" t="inlineStr"/>
      <c r="K201" t="inlineStr">
        <is>
          <t>鹿児島県大島郡瀬戸内町久根津</t>
        </is>
      </c>
      <c r="L201" s="1">
        <f>HYPERLINK("https://www.hi.u-tokyo.ac.jp/collection/degitalgallary/ryukyu/item/10200", "https://www.hi.u-tokyo.ac.jp/collection/degitalgallary/ryukyu/item/10200")</f>
        <v/>
      </c>
    </row>
    <row r="202">
      <c r="A202" t="inlineStr">
        <is>
          <t>10201</t>
        </is>
      </c>
      <c r="B202" t="inlineStr">
        <is>
          <t>長崎</t>
        </is>
      </c>
      <c r="C202" t="inlineStr">
        <is>
          <t>崎</t>
        </is>
      </c>
      <c r="D202" t="inlineStr">
        <is>
          <t>28.1657667</t>
        </is>
      </c>
      <c r="E202" t="inlineStr">
        <is>
          <t>129.2848518</t>
        </is>
      </c>
      <c r="F202" t="inlineStr">
        <is>
          <t>正保琉球国絵図写</t>
        </is>
      </c>
      <c r="G202" t="inlineStr"/>
      <c r="H202" t="inlineStr"/>
      <c r="I202" t="inlineStr">
        <is>
          <t>128</t>
        </is>
      </c>
      <c r="J202" t="inlineStr"/>
      <c r="K202" t="inlineStr">
        <is>
          <t>鹿児島県大島郡瀬戸内町手安</t>
        </is>
      </c>
      <c r="L202" s="1">
        <f>HYPERLINK("https://www.hi.u-tokyo.ac.jp/collection/degitalgallary/ryukyu/item/10201", "https://www.hi.u-tokyo.ac.jp/collection/degitalgallary/ryukyu/item/10201")</f>
        <v/>
      </c>
    </row>
    <row r="203">
      <c r="A203" t="inlineStr">
        <is>
          <t>10202</t>
        </is>
      </c>
      <c r="B203" t="inlineStr">
        <is>
          <t>まちやみ崎</t>
        </is>
      </c>
      <c r="C203" t="inlineStr">
        <is>
          <t>崎</t>
        </is>
      </c>
      <c r="D203" t="inlineStr">
        <is>
          <t>28.1539659</t>
        </is>
      </c>
      <c r="E203" t="inlineStr">
        <is>
          <t>129.2927008</t>
        </is>
      </c>
      <c r="F203" t="inlineStr">
        <is>
          <t>正保琉球国絵図写</t>
        </is>
      </c>
      <c r="G203" t="inlineStr"/>
      <c r="H203" t="inlineStr"/>
      <c r="I203" t="inlineStr">
        <is>
          <t>129</t>
        </is>
      </c>
      <c r="J203" t="inlineStr"/>
      <c r="K203" t="inlineStr">
        <is>
          <t>鹿児島県大島郡瀬戸内町手安</t>
        </is>
      </c>
      <c r="L203" s="1">
        <f>HYPERLINK("https://www.hi.u-tokyo.ac.jp/collection/degitalgallary/ryukyu/item/10202", "https://www.hi.u-tokyo.ac.jp/collection/degitalgallary/ryukyu/item/10202")</f>
        <v/>
      </c>
    </row>
    <row r="204">
      <c r="A204" t="inlineStr">
        <is>
          <t>10203</t>
        </is>
      </c>
      <c r="B204" t="inlineStr">
        <is>
          <t>しよんま崎</t>
        </is>
      </c>
      <c r="C204" t="inlineStr">
        <is>
          <t>崎</t>
        </is>
      </c>
      <c r="D204" t="inlineStr">
        <is>
          <t>28.149419</t>
        </is>
      </c>
      <c r="E204" t="inlineStr">
        <is>
          <t>129.2962396</t>
        </is>
      </c>
      <c r="F204" t="inlineStr">
        <is>
          <t>正保琉球国絵図写</t>
        </is>
      </c>
      <c r="G204" t="inlineStr"/>
      <c r="H204" t="inlineStr"/>
      <c r="I204" t="inlineStr">
        <is>
          <t>130</t>
        </is>
      </c>
      <c r="J204" t="inlineStr"/>
      <c r="K204" t="inlineStr">
        <is>
          <t>鹿児島県大島郡瀬戸内町手安</t>
        </is>
      </c>
      <c r="L204" s="1">
        <f>HYPERLINK("https://www.hi.u-tokyo.ac.jp/collection/degitalgallary/ryukyu/item/10203", "https://www.hi.u-tokyo.ac.jp/collection/degitalgallary/ryukyu/item/10203")</f>
        <v/>
      </c>
    </row>
    <row r="205">
      <c r="A205" t="inlineStr">
        <is>
          <t>10204</t>
        </is>
      </c>
      <c r="B205" t="inlineStr">
        <is>
          <t>おかみ山</t>
        </is>
      </c>
      <c r="C205" t="inlineStr">
        <is>
          <t>山</t>
        </is>
      </c>
      <c r="D205" t="inlineStr">
        <is>
          <t>28.1677024</t>
        </is>
      </c>
      <c r="E205" t="inlineStr">
        <is>
          <t>129.3155515</t>
        </is>
      </c>
      <c r="F205" t="inlineStr">
        <is>
          <t>正保琉球国絵図写</t>
        </is>
      </c>
      <c r="G205" t="inlineStr"/>
      <c r="H205" t="inlineStr"/>
      <c r="I205" t="inlineStr">
        <is>
          <t>131</t>
        </is>
      </c>
      <c r="J205" t="inlineStr"/>
      <c r="K205" t="inlineStr">
        <is>
          <t>鹿児島県大島郡瀬戸内町久根津</t>
        </is>
      </c>
      <c r="L205" s="1">
        <f>HYPERLINK("https://www.hi.u-tokyo.ac.jp/collection/degitalgallary/ryukyu/item/10204", "https://www.hi.u-tokyo.ac.jp/collection/degitalgallary/ryukyu/item/10204")</f>
        <v/>
      </c>
    </row>
    <row r="206">
      <c r="A206" t="inlineStr">
        <is>
          <t>10205</t>
        </is>
      </c>
      <c r="B206" t="inlineStr">
        <is>
          <t>御神瀬</t>
        </is>
      </c>
      <c r="C206" t="inlineStr">
        <is>
          <t>干瀬</t>
        </is>
      </c>
      <c r="D206" t="inlineStr">
        <is>
          <t>28.1344582</t>
        </is>
      </c>
      <c r="E206" t="inlineStr">
        <is>
          <t>129.3229417</t>
        </is>
      </c>
      <c r="F206" t="inlineStr">
        <is>
          <t>正保琉球国絵図写</t>
        </is>
      </c>
      <c r="G206" t="inlineStr"/>
      <c r="H206" t="inlineStr"/>
      <c r="I206" t="inlineStr">
        <is>
          <t>132</t>
        </is>
      </c>
      <c r="J206" t="inlineStr"/>
      <c r="K206" t="inlineStr">
        <is>
          <t>鹿児島県大島郡瀬戸内町古仁屋瀬久井東</t>
        </is>
      </c>
      <c r="L206" s="1">
        <f>HYPERLINK("https://www.hi.u-tokyo.ac.jp/collection/degitalgallary/ryukyu/item/10205", "https://www.hi.u-tokyo.ac.jp/collection/degitalgallary/ryukyu/item/10205")</f>
        <v/>
      </c>
    </row>
    <row r="207">
      <c r="A207" t="inlineStr">
        <is>
          <t>10206</t>
        </is>
      </c>
      <c r="B207" t="inlineStr">
        <is>
          <t>みんせのはな</t>
        </is>
      </c>
      <c r="C207" t="inlineStr">
        <is>
          <t>その他</t>
        </is>
      </c>
      <c r="D207" t="inlineStr">
        <is>
          <t>28.1316364</t>
        </is>
      </c>
      <c r="E207" t="inlineStr">
        <is>
          <t>129.3356373</t>
        </is>
      </c>
      <c r="F207" t="inlineStr">
        <is>
          <t>正保琉球国絵図写</t>
        </is>
      </c>
      <c r="G207" t="inlineStr"/>
      <c r="H207" t="inlineStr"/>
      <c r="I207" t="inlineStr">
        <is>
          <t>133</t>
        </is>
      </c>
      <c r="J207" t="inlineStr"/>
      <c r="K207" t="inlineStr">
        <is>
          <t>鹿児島県大島郡瀬戸内町嘉鉄</t>
        </is>
      </c>
      <c r="L207" s="1">
        <f>HYPERLINK("https://www.hi.u-tokyo.ac.jp/collection/degitalgallary/ryukyu/item/10206", "https://www.hi.u-tokyo.ac.jp/collection/degitalgallary/ryukyu/item/10206")</f>
        <v/>
      </c>
    </row>
    <row r="208">
      <c r="A208" t="inlineStr">
        <is>
          <t>10207</t>
        </is>
      </c>
      <c r="B208" t="inlineStr">
        <is>
          <t>崎山崎</t>
        </is>
      </c>
      <c r="C208" t="inlineStr">
        <is>
          <t>崎</t>
        </is>
      </c>
      <c r="D208" t="inlineStr">
        <is>
          <t>28.1320119</t>
        </is>
      </c>
      <c r="E208" t="inlineStr">
        <is>
          <t>129.3485902</t>
        </is>
      </c>
      <c r="F208" t="inlineStr">
        <is>
          <t>正保琉球国絵図写</t>
        </is>
      </c>
      <c r="G208" t="inlineStr"/>
      <c r="H208" t="inlineStr"/>
      <c r="I208" t="inlineStr">
        <is>
          <t>134</t>
        </is>
      </c>
      <c r="J208" t="inlineStr"/>
      <c r="K208" t="inlineStr">
        <is>
          <t>鹿児島県大島郡瀬戸内町嘉鉄</t>
        </is>
      </c>
      <c r="L208" s="1">
        <f>HYPERLINK("https://www.hi.u-tokyo.ac.jp/collection/degitalgallary/ryukyu/item/10207", "https://www.hi.u-tokyo.ac.jp/collection/degitalgallary/ryukyu/item/10207")</f>
        <v/>
      </c>
    </row>
    <row r="209">
      <c r="A209" t="inlineStr">
        <is>
          <t>10208</t>
        </is>
      </c>
      <c r="B209" t="inlineStr">
        <is>
          <t>一ツ玉</t>
        </is>
      </c>
      <c r="C209" t="inlineStr">
        <is>
          <t>その他</t>
        </is>
      </c>
      <c r="D209" t="inlineStr">
        <is>
          <t>28.112177</t>
        </is>
      </c>
      <c r="E209" t="inlineStr">
        <is>
          <t>129.3667513</t>
        </is>
      </c>
      <c r="F209" t="inlineStr">
        <is>
          <t>正保琉球国絵図写</t>
        </is>
      </c>
      <c r="G209" t="inlineStr"/>
      <c r="H209" t="inlineStr"/>
      <c r="I209" t="inlineStr">
        <is>
          <t>135</t>
        </is>
      </c>
      <c r="J209" t="inlineStr"/>
      <c r="K209" t="inlineStr">
        <is>
          <t>鹿児島県大島郡瀬戸内町蘇刈</t>
        </is>
      </c>
      <c r="L209" s="1">
        <f>HYPERLINK("https://www.hi.u-tokyo.ac.jp/collection/degitalgallary/ryukyu/item/10208", "https://www.hi.u-tokyo.ac.jp/collection/degitalgallary/ryukyu/item/10208")</f>
        <v/>
      </c>
    </row>
    <row r="210">
      <c r="A210" t="inlineStr">
        <is>
          <t>10209</t>
        </is>
      </c>
      <c r="B210" t="inlineStr">
        <is>
          <t>はい瀬</t>
        </is>
      </c>
      <c r="C210" t="inlineStr">
        <is>
          <t>干瀬</t>
        </is>
      </c>
      <c r="D210" t="inlineStr">
        <is>
          <t>28.1054767</t>
        </is>
      </c>
      <c r="E210" t="inlineStr">
        <is>
          <t>129.3613237</t>
        </is>
      </c>
      <c r="F210" t="inlineStr">
        <is>
          <t>正保琉球国絵図写</t>
        </is>
      </c>
      <c r="G210" t="inlineStr"/>
      <c r="H210" t="inlineStr"/>
      <c r="I210" t="inlineStr">
        <is>
          <t>136</t>
        </is>
      </c>
      <c r="J210" t="inlineStr"/>
      <c r="K210" t="inlineStr">
        <is>
          <t>鹿児島県大島郡瀬戸内町渡連</t>
        </is>
      </c>
      <c r="L210" s="1">
        <f>HYPERLINK("https://www.hi.u-tokyo.ac.jp/collection/degitalgallary/ryukyu/item/10209", "https://www.hi.u-tokyo.ac.jp/collection/degitalgallary/ryukyu/item/10209")</f>
        <v/>
      </c>
    </row>
    <row r="211">
      <c r="A211" t="inlineStr">
        <is>
          <t>10210</t>
        </is>
      </c>
      <c r="B211" t="inlineStr">
        <is>
          <t>ねくれ</t>
        </is>
      </c>
      <c r="C211" t="inlineStr">
        <is>
          <t>その他</t>
        </is>
      </c>
      <c r="D211" t="inlineStr">
        <is>
          <t>28.1134156</t>
        </is>
      </c>
      <c r="E211" t="inlineStr">
        <is>
          <t>129.3810937</t>
        </is>
      </c>
      <c r="F211" t="inlineStr">
        <is>
          <t>正保琉球国絵図写</t>
        </is>
      </c>
      <c r="G211" t="inlineStr"/>
      <c r="H211" t="inlineStr"/>
      <c r="I211" t="inlineStr">
        <is>
          <t>137</t>
        </is>
      </c>
      <c r="J211" t="inlineStr"/>
      <c r="K211" t="inlineStr">
        <is>
          <t>鹿児島県大島郡瀬戸内町蘇刈</t>
        </is>
      </c>
      <c r="L211" s="1">
        <f>HYPERLINK("https://www.hi.u-tokyo.ac.jp/collection/degitalgallary/ryukyu/item/10210", "https://www.hi.u-tokyo.ac.jp/collection/degitalgallary/ryukyu/item/10210")</f>
        <v/>
      </c>
    </row>
    <row r="212">
      <c r="A212" t="inlineStr">
        <is>
          <t>10211</t>
        </is>
      </c>
      <c r="B212" t="inlineStr">
        <is>
          <t>白瀬</t>
        </is>
      </c>
      <c r="C212" t="inlineStr">
        <is>
          <t>干瀬</t>
        </is>
      </c>
      <c r="D212" t="inlineStr">
        <is>
          <t>28.1522976</t>
        </is>
      </c>
      <c r="E212" t="inlineStr">
        <is>
          <t>129.3661515</t>
        </is>
      </c>
      <c r="F212" t="inlineStr">
        <is>
          <t>正保琉球国絵図写</t>
        </is>
      </c>
      <c r="G212" t="inlineStr"/>
      <c r="H212" t="inlineStr"/>
      <c r="I212" t="inlineStr">
        <is>
          <t>138</t>
        </is>
      </c>
      <c r="J212" t="inlineStr"/>
      <c r="K212" t="inlineStr">
        <is>
          <t>鹿児島県大島郡瀬戸内町伊須</t>
        </is>
      </c>
      <c r="L212" s="1">
        <f>HYPERLINK("https://www.hi.u-tokyo.ac.jp/collection/degitalgallary/ryukyu/item/10211", "https://www.hi.u-tokyo.ac.jp/collection/degitalgallary/ryukyu/item/10211")</f>
        <v/>
      </c>
    </row>
    <row r="213">
      <c r="A213" t="inlineStr">
        <is>
          <t>10212</t>
        </is>
      </c>
      <c r="B213" t="inlineStr">
        <is>
          <t>平瀬崎</t>
        </is>
      </c>
      <c r="C213" t="inlineStr">
        <is>
          <t>崎</t>
        </is>
      </c>
      <c r="D213" t="inlineStr">
        <is>
          <t>28.1704874</t>
        </is>
      </c>
      <c r="E213" t="inlineStr">
        <is>
          <t>129.3603971</t>
        </is>
      </c>
      <c r="F213" t="inlineStr">
        <is>
          <t>正保琉球国絵図写</t>
        </is>
      </c>
      <c r="G213" t="inlineStr"/>
      <c r="H213" t="inlineStr"/>
      <c r="I213" t="inlineStr">
        <is>
          <t>139</t>
        </is>
      </c>
      <c r="J213" t="inlineStr"/>
      <c r="K213" t="inlineStr">
        <is>
          <t>鹿児島県大島郡瀬戸内町網野子</t>
        </is>
      </c>
      <c r="L213" s="1">
        <f>HYPERLINK("https://www.hi.u-tokyo.ac.jp/collection/degitalgallary/ryukyu/item/10212", "https://www.hi.u-tokyo.ac.jp/collection/degitalgallary/ryukyu/item/10212")</f>
        <v/>
      </c>
    </row>
    <row r="214">
      <c r="A214" t="inlineStr">
        <is>
          <t>10213</t>
        </is>
      </c>
      <c r="B214" t="inlineStr">
        <is>
          <t>せとの崎</t>
        </is>
      </c>
      <c r="C214" t="inlineStr">
        <is>
          <t>崎</t>
        </is>
      </c>
      <c r="D214" t="inlineStr">
        <is>
          <t>28.164436</t>
        </is>
      </c>
      <c r="E214" t="inlineStr">
        <is>
          <t>129.3757087</t>
        </is>
      </c>
      <c r="F214" t="inlineStr">
        <is>
          <t>正保琉球国絵図写</t>
        </is>
      </c>
      <c r="G214" t="inlineStr"/>
      <c r="H214" t="inlineStr"/>
      <c r="I214" t="inlineStr">
        <is>
          <t>140</t>
        </is>
      </c>
      <c r="J214" t="inlineStr"/>
      <c r="K214" t="inlineStr">
        <is>
          <t>鹿児島県大島郡瀬戸内町節子</t>
        </is>
      </c>
      <c r="L214" s="1">
        <f>HYPERLINK("https://www.hi.u-tokyo.ac.jp/collection/degitalgallary/ryukyu/item/10213", "https://www.hi.u-tokyo.ac.jp/collection/degitalgallary/ryukyu/item/10213")</f>
        <v/>
      </c>
    </row>
    <row r="215">
      <c r="A215" t="inlineStr">
        <is>
          <t>10214</t>
        </is>
      </c>
      <c r="B215" t="inlineStr">
        <is>
          <t>二まい瀬</t>
        </is>
      </c>
      <c r="C215" t="inlineStr">
        <is>
          <t>干瀬</t>
        </is>
      </c>
      <c r="D215" t="inlineStr">
        <is>
          <t>28.1548604</t>
        </is>
      </c>
      <c r="E215" t="inlineStr">
        <is>
          <t>129.4012721</t>
        </is>
      </c>
      <c r="F215" t="inlineStr">
        <is>
          <t>正保琉球国絵図写</t>
        </is>
      </c>
      <c r="G215" t="inlineStr"/>
      <c r="H215" t="inlineStr"/>
      <c r="I215" t="inlineStr">
        <is>
          <t>141</t>
        </is>
      </c>
      <c r="J215" t="inlineStr"/>
      <c r="K215" t="inlineStr">
        <is>
          <t>鹿児島県大島郡瀬戸内町節子</t>
        </is>
      </c>
      <c r="L215" s="1">
        <f>HYPERLINK("https://www.hi.u-tokyo.ac.jp/collection/degitalgallary/ryukyu/item/10214", "https://www.hi.u-tokyo.ac.jp/collection/degitalgallary/ryukyu/item/10214")</f>
        <v/>
      </c>
    </row>
    <row r="216">
      <c r="A216" t="inlineStr">
        <is>
          <t>10215</t>
        </is>
      </c>
      <c r="B216" t="inlineStr">
        <is>
          <t>満崎</t>
        </is>
      </c>
      <c r="C216" t="inlineStr">
        <is>
          <t>崎</t>
        </is>
      </c>
      <c r="D216" t="inlineStr">
        <is>
          <t>28.1553443</t>
        </is>
      </c>
      <c r="E216" t="inlineStr">
        <is>
          <t>129.4000718</t>
        </is>
      </c>
      <c r="F216" t="inlineStr">
        <is>
          <t>正保琉球国絵図写</t>
        </is>
      </c>
      <c r="G216" t="inlineStr"/>
      <c r="H216" t="inlineStr"/>
      <c r="I216" t="inlineStr">
        <is>
          <t>142</t>
        </is>
      </c>
      <c r="J216" t="inlineStr"/>
      <c r="K216" t="inlineStr">
        <is>
          <t>鹿児島県大島郡瀬戸内町節子</t>
        </is>
      </c>
      <c r="L216" s="1">
        <f>HYPERLINK("https://www.hi.u-tokyo.ac.jp/collection/degitalgallary/ryukyu/item/10215", "https://www.hi.u-tokyo.ac.jp/collection/degitalgallary/ryukyu/item/10215")</f>
        <v/>
      </c>
    </row>
    <row r="217">
      <c r="A217" t="inlineStr">
        <is>
          <t>10216</t>
        </is>
      </c>
      <c r="B217" t="inlineStr">
        <is>
          <t>二ツ瀬</t>
        </is>
      </c>
      <c r="C217" t="inlineStr">
        <is>
          <t>干瀬</t>
        </is>
      </c>
      <c r="D217" t="inlineStr">
        <is>
          <t>28.183918</t>
        </is>
      </c>
      <c r="E217" t="inlineStr">
        <is>
          <t>129.4053176</t>
        </is>
      </c>
      <c r="F217" t="inlineStr">
        <is>
          <t>正保琉球国絵図写</t>
        </is>
      </c>
      <c r="G217" t="inlineStr"/>
      <c r="H217" t="inlineStr"/>
      <c r="I217" t="inlineStr">
        <is>
          <t>143</t>
        </is>
      </c>
      <c r="J217" t="inlineStr"/>
      <c r="K217" t="inlineStr">
        <is>
          <t>鹿児島県大島郡瀬戸内町嘉徳</t>
        </is>
      </c>
      <c r="L217" s="1">
        <f>HYPERLINK("https://www.hi.u-tokyo.ac.jp/collection/degitalgallary/ryukyu/item/10216", "https://www.hi.u-tokyo.ac.jp/collection/degitalgallary/ryukyu/item/10216")</f>
        <v/>
      </c>
    </row>
    <row r="218">
      <c r="A218" t="inlineStr">
        <is>
          <t>10217</t>
        </is>
      </c>
      <c r="B218" t="inlineStr">
        <is>
          <t>立神</t>
        </is>
      </c>
      <c r="C218" t="inlineStr">
        <is>
          <t>その他</t>
        </is>
      </c>
      <c r="D218" t="inlineStr">
        <is>
          <t>28.187649</t>
        </is>
      </c>
      <c r="E218" t="inlineStr">
        <is>
          <t>129.4330999</t>
        </is>
      </c>
      <c r="F218" t="inlineStr">
        <is>
          <t>正保琉球国絵図写</t>
        </is>
      </c>
      <c r="G218" t="inlineStr"/>
      <c r="H218" t="inlineStr"/>
      <c r="I218" t="inlineStr">
        <is>
          <t>144</t>
        </is>
      </c>
      <c r="J218" t="inlineStr"/>
      <c r="K218" t="inlineStr">
        <is>
          <t>鹿児島県大島郡瀬戸内町嘉徳</t>
        </is>
      </c>
      <c r="L218" s="1">
        <f>HYPERLINK("https://www.hi.u-tokyo.ac.jp/collection/degitalgallary/ryukyu/item/10217", "https://www.hi.u-tokyo.ac.jp/collection/degitalgallary/ryukyu/item/10217")</f>
        <v/>
      </c>
    </row>
    <row r="219">
      <c r="A219" t="inlineStr">
        <is>
          <t>10218</t>
        </is>
      </c>
      <c r="B219" t="inlineStr">
        <is>
          <t>一ノおかみ崎</t>
        </is>
      </c>
      <c r="C219" t="inlineStr">
        <is>
          <t>崎</t>
        </is>
      </c>
      <c r="D219" t="inlineStr"/>
      <c r="E219" t="inlineStr"/>
      <c r="F219" t="inlineStr">
        <is>
          <t>正保琉球国絵図写</t>
        </is>
      </c>
      <c r="G219" t="inlineStr"/>
      <c r="H219" t="inlineStr"/>
      <c r="I219" t="inlineStr">
        <is>
          <t>145</t>
        </is>
      </c>
      <c r="J219" t="inlineStr"/>
      <c r="K219" t="inlineStr"/>
      <c r="L219" s="1">
        <f>HYPERLINK("https://www.hi.u-tokyo.ac.jp/collection/degitalgallary/ryukyu/item/10218", "https://www.hi.u-tokyo.ac.jp/collection/degitalgallary/ryukyu/item/10218")</f>
        <v/>
      </c>
    </row>
    <row r="220">
      <c r="A220" t="inlineStr">
        <is>
          <t>10219</t>
        </is>
      </c>
      <c r="B220" t="inlineStr">
        <is>
          <t>大瀬</t>
        </is>
      </c>
      <c r="C220" t="inlineStr">
        <is>
          <t>干瀬</t>
        </is>
      </c>
      <c r="D220" t="inlineStr"/>
      <c r="E220" t="inlineStr"/>
      <c r="F220" t="inlineStr">
        <is>
          <t>正保琉球国絵図写</t>
        </is>
      </c>
      <c r="G220" t="inlineStr"/>
      <c r="H220" t="inlineStr"/>
      <c r="I220" t="inlineStr">
        <is>
          <t>146</t>
        </is>
      </c>
      <c r="J220" t="inlineStr"/>
      <c r="K220" t="inlineStr"/>
      <c r="L220" s="1">
        <f>HYPERLINK("https://www.hi.u-tokyo.ac.jp/collection/degitalgallary/ryukyu/item/10219", "https://www.hi.u-tokyo.ac.jp/collection/degitalgallary/ryukyu/item/10219")</f>
        <v/>
      </c>
    </row>
    <row r="221">
      <c r="A221" t="inlineStr">
        <is>
          <t>10220</t>
        </is>
      </c>
      <c r="B221" t="inlineStr">
        <is>
          <t>はとの崎</t>
        </is>
      </c>
      <c r="C221" t="inlineStr">
        <is>
          <t>崎</t>
        </is>
      </c>
      <c r="D221" t="inlineStr"/>
      <c r="E221" t="inlineStr"/>
      <c r="F221" t="inlineStr">
        <is>
          <t>正保琉球国絵図写</t>
        </is>
      </c>
      <c r="G221" t="inlineStr"/>
      <c r="H221" t="inlineStr"/>
      <c r="I221" t="inlineStr">
        <is>
          <t>147</t>
        </is>
      </c>
      <c r="J221" t="inlineStr"/>
      <c r="K221" t="inlineStr"/>
      <c r="L221" s="1">
        <f>HYPERLINK("https://www.hi.u-tokyo.ac.jp/collection/degitalgallary/ryukyu/item/10220", "https://www.hi.u-tokyo.ac.jp/collection/degitalgallary/ryukyu/item/10220")</f>
        <v/>
      </c>
    </row>
    <row r="222">
      <c r="A222" t="inlineStr">
        <is>
          <t>10221</t>
        </is>
      </c>
      <c r="B222" t="inlineStr">
        <is>
          <t>遠干潟</t>
        </is>
      </c>
      <c r="C222" t="inlineStr">
        <is>
          <t>干瀬</t>
        </is>
      </c>
      <c r="D222" t="inlineStr"/>
      <c r="E222" t="inlineStr"/>
      <c r="F222" t="inlineStr">
        <is>
          <t>正保琉球国絵図写</t>
        </is>
      </c>
      <c r="G222" t="inlineStr"/>
      <c r="H222" t="inlineStr"/>
      <c r="I222" t="inlineStr">
        <is>
          <t>148</t>
        </is>
      </c>
      <c r="J222" t="inlineStr"/>
      <c r="K222" t="inlineStr"/>
      <c r="L222" s="1">
        <f>HYPERLINK("https://www.hi.u-tokyo.ac.jp/collection/degitalgallary/ryukyu/item/10221", "https://www.hi.u-tokyo.ac.jp/collection/degitalgallary/ryukyu/item/10221")</f>
        <v/>
      </c>
    </row>
    <row r="223">
      <c r="A223" t="inlineStr">
        <is>
          <t>10222</t>
        </is>
      </c>
      <c r="B223" t="inlineStr">
        <is>
          <t>すこ村大道より住用間切大道迄、三里廿九町</t>
        </is>
      </c>
      <c r="C223" t="inlineStr">
        <is>
          <t>陸路</t>
        </is>
      </c>
      <c r="D223" t="inlineStr"/>
      <c r="E223" t="inlineStr"/>
      <c r="F223" t="inlineStr">
        <is>
          <t>正保琉球国絵図写</t>
        </is>
      </c>
      <c r="G223" t="inlineStr"/>
      <c r="H223" t="inlineStr"/>
      <c r="I223" t="inlineStr">
        <is>
          <t>149</t>
        </is>
      </c>
      <c r="J223" t="inlineStr"/>
      <c r="K223" t="inlineStr"/>
      <c r="L223" s="1">
        <f>HYPERLINK("https://www.hi.u-tokyo.ac.jp/collection/degitalgallary/ryukyu/item/10222", "https://www.hi.u-tokyo.ac.jp/collection/degitalgallary/ryukyu/item/10222")</f>
        <v/>
      </c>
    </row>
    <row r="224">
      <c r="A224" t="inlineStr">
        <is>
          <t>10223</t>
        </is>
      </c>
      <c r="B224" t="inlineStr">
        <is>
          <t>住用</t>
        </is>
      </c>
      <c r="C224" t="inlineStr">
        <is>
          <t>港湾</t>
        </is>
      </c>
      <c r="D224" t="inlineStr"/>
      <c r="E224" t="inlineStr"/>
      <c r="F224" t="inlineStr">
        <is>
          <t>正保琉球国絵図写</t>
        </is>
      </c>
      <c r="G224" t="inlineStr">
        <is>
          <t>此住用湊、入三町、広サ弐町、深サ八尋、大船七八艘程繋ル、東風北風之時船繋リ不成</t>
        </is>
      </c>
      <c r="H224" t="inlineStr"/>
      <c r="I224" t="inlineStr">
        <is>
          <t>150</t>
        </is>
      </c>
      <c r="J224" t="inlineStr"/>
      <c r="K224" t="inlineStr"/>
      <c r="L224" s="1">
        <f>HYPERLINK("https://www.hi.u-tokyo.ac.jp/collection/degitalgallary/ryukyu/item/10223", "https://www.hi.u-tokyo.ac.jp/collection/degitalgallary/ryukyu/item/10223")</f>
        <v/>
      </c>
    </row>
    <row r="225">
      <c r="A225" t="inlineStr">
        <is>
          <t>10224</t>
        </is>
      </c>
      <c r="B225" t="inlineStr">
        <is>
          <t>住用湊より瀬名迄、海上四里半</t>
        </is>
      </c>
      <c r="C225" t="inlineStr">
        <is>
          <t>航路</t>
        </is>
      </c>
      <c r="D225" t="inlineStr"/>
      <c r="E225" t="inlineStr"/>
      <c r="F225" t="inlineStr">
        <is>
          <t>正保琉球国絵図写</t>
        </is>
      </c>
      <c r="G225" t="inlineStr"/>
      <c r="H225" t="inlineStr"/>
      <c r="I225" t="inlineStr">
        <is>
          <t>151</t>
        </is>
      </c>
      <c r="J225" t="inlineStr"/>
      <c r="K225" t="inlineStr"/>
      <c r="L225" s="1">
        <f>HYPERLINK("https://www.hi.u-tokyo.ac.jp/collection/degitalgallary/ryukyu/item/10224", "https://www.hi.u-tokyo.ac.jp/collection/degitalgallary/ryukyu/item/10224")</f>
        <v/>
      </c>
    </row>
    <row r="226">
      <c r="A226" t="inlineStr">
        <is>
          <t>10225</t>
        </is>
      </c>
      <c r="B226" t="inlineStr">
        <is>
          <t>城のはなれ</t>
        </is>
      </c>
      <c r="C226" t="inlineStr">
        <is>
          <t>その他</t>
        </is>
      </c>
      <c r="D226" t="inlineStr"/>
      <c r="E226" t="inlineStr"/>
      <c r="F226" t="inlineStr">
        <is>
          <t>正保琉球国絵図写</t>
        </is>
      </c>
      <c r="G226" t="inlineStr"/>
      <c r="H226" t="inlineStr"/>
      <c r="I226" t="inlineStr">
        <is>
          <t>152</t>
        </is>
      </c>
      <c r="J226" t="inlineStr"/>
      <c r="K226" t="inlineStr"/>
      <c r="L226" s="1">
        <f>HYPERLINK("https://www.hi.u-tokyo.ac.jp/collection/degitalgallary/ryukyu/item/10225", "https://www.hi.u-tokyo.ac.jp/collection/degitalgallary/ryukyu/item/10225")</f>
        <v/>
      </c>
    </row>
    <row r="227">
      <c r="A227" t="inlineStr">
        <is>
          <t>10226</t>
        </is>
      </c>
      <c r="B227" t="inlineStr">
        <is>
          <t>すくるとへら</t>
        </is>
      </c>
      <c r="C227" t="inlineStr">
        <is>
          <t>その他</t>
        </is>
      </c>
      <c r="D227" t="inlineStr"/>
      <c r="E227" t="inlineStr"/>
      <c r="F227" t="inlineStr">
        <is>
          <t>正保琉球国絵図写</t>
        </is>
      </c>
      <c r="G227" t="inlineStr"/>
      <c r="H227" t="inlineStr"/>
      <c r="I227" t="inlineStr">
        <is>
          <t>153</t>
        </is>
      </c>
      <c r="J227" t="inlineStr"/>
      <c r="K227" t="inlineStr"/>
      <c r="L227" s="1">
        <f>HYPERLINK("https://www.hi.u-tokyo.ac.jp/collection/degitalgallary/ryukyu/item/10226", "https://www.hi.u-tokyo.ac.jp/collection/degitalgallary/ryukyu/item/10226")</f>
        <v/>
      </c>
    </row>
    <row r="228">
      <c r="A228" t="inlineStr">
        <is>
          <t>10227</t>
        </is>
      </c>
      <c r="B228" t="inlineStr">
        <is>
          <t>船出入なし</t>
        </is>
      </c>
      <c r="C228" t="inlineStr">
        <is>
          <t>港湾</t>
        </is>
      </c>
      <c r="D228" t="inlineStr"/>
      <c r="E228" t="inlineStr"/>
      <c r="F228" t="inlineStr">
        <is>
          <t>正保琉球国絵図写</t>
        </is>
      </c>
      <c r="G228" t="inlineStr"/>
      <c r="H228" t="inlineStr"/>
      <c r="I228" t="inlineStr">
        <is>
          <t>154</t>
        </is>
      </c>
      <c r="J228" t="inlineStr"/>
      <c r="K228" t="inlineStr"/>
      <c r="L228" s="1">
        <f>HYPERLINK("https://www.hi.u-tokyo.ac.jp/collection/degitalgallary/ryukyu/item/10227", "https://www.hi.u-tokyo.ac.jp/collection/degitalgallary/ryukyu/item/10227")</f>
        <v/>
      </c>
    </row>
    <row r="229">
      <c r="A229" t="inlineStr">
        <is>
          <t>10228</t>
        </is>
      </c>
      <c r="B229" t="inlineStr">
        <is>
          <t>三ツ瀬</t>
        </is>
      </c>
      <c r="C229" t="inlineStr">
        <is>
          <t>干瀬</t>
        </is>
      </c>
      <c r="D229" t="inlineStr"/>
      <c r="E229" t="inlineStr"/>
      <c r="F229" t="inlineStr">
        <is>
          <t>正保琉球国絵図写</t>
        </is>
      </c>
      <c r="G229" t="inlineStr"/>
      <c r="H229" t="inlineStr"/>
      <c r="I229" t="inlineStr">
        <is>
          <t>155</t>
        </is>
      </c>
      <c r="J229" t="inlineStr"/>
      <c r="K229" t="inlineStr"/>
      <c r="L229" s="1">
        <f>HYPERLINK("https://www.hi.u-tokyo.ac.jp/collection/degitalgallary/ryukyu/item/10228", "https://www.hi.u-tokyo.ac.jp/collection/degitalgallary/ryukyu/item/10228")</f>
        <v/>
      </c>
    </row>
    <row r="230">
      <c r="A230" t="inlineStr">
        <is>
          <t>10229</t>
        </is>
      </c>
      <c r="B230" t="inlineStr">
        <is>
          <t>くろ瀬</t>
        </is>
      </c>
      <c r="C230" t="inlineStr">
        <is>
          <t>干瀬</t>
        </is>
      </c>
      <c r="D230" t="inlineStr">
        <is>
          <t>28.3095643</t>
        </is>
      </c>
      <c r="E230" t="inlineStr">
        <is>
          <t>129.5123101</t>
        </is>
      </c>
      <c r="F230" t="inlineStr">
        <is>
          <t>正保琉球国絵図写</t>
        </is>
      </c>
      <c r="G230" t="inlineStr"/>
      <c r="H230" t="inlineStr"/>
      <c r="I230" t="inlineStr">
        <is>
          <t>156</t>
        </is>
      </c>
      <c r="J230" t="inlineStr"/>
      <c r="K230" t="inlineStr">
        <is>
          <t>鹿児島県奄美市名瀬大字小湊</t>
        </is>
      </c>
      <c r="L230" s="1">
        <f>HYPERLINK("https://www.hi.u-tokyo.ac.jp/collection/degitalgallary/ryukyu/item/10229", "https://www.hi.u-tokyo.ac.jp/collection/degitalgallary/ryukyu/item/10229")</f>
        <v/>
      </c>
    </row>
    <row r="231">
      <c r="A231" t="inlineStr">
        <is>
          <t>10230</t>
        </is>
      </c>
      <c r="B231" t="inlineStr">
        <is>
          <t>中ひせ</t>
        </is>
      </c>
      <c r="C231" t="inlineStr">
        <is>
          <t>干瀬</t>
        </is>
      </c>
      <c r="D231" t="inlineStr">
        <is>
          <t>28.3125714</t>
        </is>
      </c>
      <c r="E231" t="inlineStr">
        <is>
          <t>129.5437677</t>
        </is>
      </c>
      <c r="F231" t="inlineStr">
        <is>
          <t>正保琉球国絵図写</t>
        </is>
      </c>
      <c r="G231" t="inlineStr"/>
      <c r="H231" t="inlineStr"/>
      <c r="I231" t="inlineStr">
        <is>
          <t>157</t>
        </is>
      </c>
      <c r="J231" t="inlineStr"/>
      <c r="K231" t="inlineStr">
        <is>
          <t>鹿児島県奄美市名瀬大字小湊</t>
        </is>
      </c>
      <c r="L231" s="1">
        <f>HYPERLINK("https://www.hi.u-tokyo.ac.jp/collection/degitalgallary/ryukyu/item/10230", "https://www.hi.u-tokyo.ac.jp/collection/degitalgallary/ryukyu/item/10230")</f>
        <v/>
      </c>
    </row>
    <row r="232">
      <c r="A232" t="inlineStr">
        <is>
          <t>10231</t>
        </is>
      </c>
      <c r="B232" t="inlineStr">
        <is>
          <t>赤立神</t>
        </is>
      </c>
      <c r="C232" t="inlineStr">
        <is>
          <t>その他</t>
        </is>
      </c>
      <c r="D232" t="inlineStr">
        <is>
          <t>28.3095643</t>
        </is>
      </c>
      <c r="E232" t="inlineStr">
        <is>
          <t>129.5123101</t>
        </is>
      </c>
      <c r="F232" t="inlineStr">
        <is>
          <t>正保琉球国絵図写</t>
        </is>
      </c>
      <c r="G232" t="inlineStr"/>
      <c r="H232" t="inlineStr"/>
      <c r="I232" t="inlineStr">
        <is>
          <t>158</t>
        </is>
      </c>
      <c r="J232" t="inlineStr"/>
      <c r="K232" t="inlineStr">
        <is>
          <t>鹿児島県奄美市名瀬大字小湊</t>
        </is>
      </c>
      <c r="L232" s="1">
        <f>HYPERLINK("https://www.hi.u-tokyo.ac.jp/collection/degitalgallary/ryukyu/item/10231", "https://www.hi.u-tokyo.ac.jp/collection/degitalgallary/ryukyu/item/10231")</f>
        <v/>
      </c>
    </row>
    <row r="233">
      <c r="A233" t="inlineStr">
        <is>
          <t>10232</t>
        </is>
      </c>
      <c r="B233" t="inlineStr">
        <is>
          <t>三ツ瀬</t>
        </is>
      </c>
      <c r="C233" t="inlineStr">
        <is>
          <t>干瀬</t>
        </is>
      </c>
      <c r="D233" t="inlineStr">
        <is>
          <t>28.3043376</t>
        </is>
      </c>
      <c r="E233" t="inlineStr">
        <is>
          <t>129.5425308</t>
        </is>
      </c>
      <c r="F233" t="inlineStr">
        <is>
          <t>正保琉球国絵図写</t>
        </is>
      </c>
      <c r="G233" t="inlineStr"/>
      <c r="H233" t="inlineStr"/>
      <c r="I233" t="inlineStr">
        <is>
          <t>159</t>
        </is>
      </c>
      <c r="J233" t="inlineStr"/>
      <c r="K233" t="inlineStr">
        <is>
          <t>鹿児島県奄美市名瀬大字小湊</t>
        </is>
      </c>
      <c r="L233" s="1">
        <f>HYPERLINK("https://www.hi.u-tokyo.ac.jp/collection/degitalgallary/ryukyu/item/10232", "https://www.hi.u-tokyo.ac.jp/collection/degitalgallary/ryukyu/item/10232")</f>
        <v/>
      </c>
    </row>
    <row r="234">
      <c r="A234" t="inlineStr">
        <is>
          <t>10233</t>
        </is>
      </c>
      <c r="B234" t="inlineStr">
        <is>
          <t>平瀬</t>
        </is>
      </c>
      <c r="C234" t="inlineStr">
        <is>
          <t>干瀬</t>
        </is>
      </c>
      <c r="D234" t="inlineStr"/>
      <c r="E234" t="inlineStr"/>
      <c r="F234" t="inlineStr">
        <is>
          <t>正保琉球国絵図写</t>
        </is>
      </c>
      <c r="G234" t="inlineStr"/>
      <c r="H234" t="inlineStr"/>
      <c r="I234" t="inlineStr">
        <is>
          <t>160</t>
        </is>
      </c>
      <c r="J234" t="inlineStr"/>
      <c r="K234" t="inlineStr"/>
      <c r="L234" s="1">
        <f>HYPERLINK("https://www.hi.u-tokyo.ac.jp/collection/degitalgallary/ryukyu/item/10233", "https://www.hi.u-tokyo.ac.jp/collection/degitalgallary/ryukyu/item/10233")</f>
        <v/>
      </c>
    </row>
    <row r="235">
      <c r="A235" t="inlineStr">
        <is>
          <t>10234</t>
        </is>
      </c>
      <c r="B235" t="inlineStr">
        <is>
          <t>むま瀬</t>
        </is>
      </c>
      <c r="C235" t="inlineStr">
        <is>
          <t>干瀬</t>
        </is>
      </c>
      <c r="D235" t="inlineStr"/>
      <c r="E235" t="inlineStr"/>
      <c r="F235" t="inlineStr">
        <is>
          <t>正保琉球国絵図写</t>
        </is>
      </c>
      <c r="G235" t="inlineStr"/>
      <c r="H235" t="inlineStr"/>
      <c r="I235" t="inlineStr">
        <is>
          <t>161</t>
        </is>
      </c>
      <c r="J235" t="inlineStr"/>
      <c r="K235" t="inlineStr"/>
      <c r="L235" s="1">
        <f>HYPERLINK("https://www.hi.u-tokyo.ac.jp/collection/degitalgallary/ryukyu/item/10234", "https://www.hi.u-tokyo.ac.jp/collection/degitalgallary/ryukyu/item/10234")</f>
        <v/>
      </c>
    </row>
    <row r="236">
      <c r="A236" t="inlineStr">
        <is>
          <t>10235</t>
        </is>
      </c>
      <c r="B236" t="inlineStr">
        <is>
          <t>くさせ</t>
        </is>
      </c>
      <c r="C236" t="inlineStr">
        <is>
          <t>干瀬</t>
        </is>
      </c>
      <c r="D236" t="inlineStr"/>
      <c r="E236" t="inlineStr"/>
      <c r="F236" t="inlineStr">
        <is>
          <t>正保琉球国絵図写</t>
        </is>
      </c>
      <c r="G236" t="inlineStr"/>
      <c r="H236" t="inlineStr"/>
      <c r="I236" t="inlineStr">
        <is>
          <t>162</t>
        </is>
      </c>
      <c r="J236" t="inlineStr"/>
      <c r="K236" t="inlineStr"/>
      <c r="L236" s="1">
        <f>HYPERLINK("https://www.hi.u-tokyo.ac.jp/collection/degitalgallary/ryukyu/item/10235", "https://www.hi.u-tokyo.ac.jp/collection/degitalgallary/ryukyu/item/10235")</f>
        <v/>
      </c>
    </row>
    <row r="237">
      <c r="A237" t="inlineStr">
        <is>
          <t>10236</t>
        </is>
      </c>
      <c r="B237" t="inlineStr">
        <is>
          <t>大瀬</t>
        </is>
      </c>
      <c r="C237" t="inlineStr">
        <is>
          <t>干瀬</t>
        </is>
      </c>
      <c r="D237" t="inlineStr"/>
      <c r="E237" t="inlineStr"/>
      <c r="F237" t="inlineStr">
        <is>
          <t>正保琉球国絵図写</t>
        </is>
      </c>
      <c r="G237" t="inlineStr"/>
      <c r="H237" t="inlineStr"/>
      <c r="I237" t="inlineStr">
        <is>
          <t>163</t>
        </is>
      </c>
      <c r="J237" t="inlineStr"/>
      <c r="K237" t="inlineStr"/>
      <c r="L237" s="1">
        <f>HYPERLINK("https://www.hi.u-tokyo.ac.jp/collection/degitalgallary/ryukyu/item/10236", "https://www.hi.u-tokyo.ac.jp/collection/degitalgallary/ryukyu/item/10236")</f>
        <v/>
      </c>
    </row>
    <row r="238">
      <c r="A238" t="inlineStr">
        <is>
          <t>10237</t>
        </is>
      </c>
      <c r="B238" t="inlineStr">
        <is>
          <t>瀬名</t>
        </is>
      </c>
      <c r="C238" t="inlineStr">
        <is>
          <t>港湾</t>
        </is>
      </c>
      <c r="D238" t="inlineStr"/>
      <c r="E238" t="inlineStr"/>
      <c r="F238" t="inlineStr">
        <is>
          <t>正保琉球国絵図写</t>
        </is>
      </c>
      <c r="G238" t="inlineStr">
        <is>
          <t>此うら船かゝり不自由</t>
        </is>
      </c>
      <c r="H238" t="inlineStr"/>
      <c r="I238" t="inlineStr">
        <is>
          <t>164</t>
        </is>
      </c>
      <c r="J238" t="inlineStr"/>
      <c r="K238" t="inlineStr"/>
      <c r="L238" s="1">
        <f>HYPERLINK("https://www.hi.u-tokyo.ac.jp/collection/degitalgallary/ryukyu/item/10237", "https://www.hi.u-tokyo.ac.jp/collection/degitalgallary/ryukyu/item/10237")</f>
        <v/>
      </c>
    </row>
    <row r="239">
      <c r="A239" t="inlineStr">
        <is>
          <t>10238</t>
        </is>
      </c>
      <c r="B239" t="inlineStr">
        <is>
          <t>はう瀬</t>
        </is>
      </c>
      <c r="C239" t="inlineStr">
        <is>
          <t>干瀬</t>
        </is>
      </c>
      <c r="D239" t="inlineStr"/>
      <c r="E239" t="inlineStr"/>
      <c r="F239" t="inlineStr">
        <is>
          <t>正保琉球国絵図写</t>
        </is>
      </c>
      <c r="G239" t="inlineStr"/>
      <c r="H239" t="inlineStr"/>
      <c r="I239" t="inlineStr">
        <is>
          <t>165</t>
        </is>
      </c>
      <c r="J239" t="inlineStr"/>
      <c r="K239" t="inlineStr"/>
      <c r="L239" s="1">
        <f>HYPERLINK("https://www.hi.u-tokyo.ac.jp/collection/degitalgallary/ryukyu/item/10238", "https://www.hi.u-tokyo.ac.jp/collection/degitalgallary/ryukyu/item/10238")</f>
        <v/>
      </c>
    </row>
    <row r="240">
      <c r="A240" t="inlineStr">
        <is>
          <t>10239</t>
        </is>
      </c>
      <c r="B240" t="inlineStr">
        <is>
          <t>瀬名よりせつた迄、海上四里</t>
        </is>
      </c>
      <c r="C240" t="inlineStr">
        <is>
          <t>航路</t>
        </is>
      </c>
      <c r="D240" t="inlineStr"/>
      <c r="E240" t="inlineStr"/>
      <c r="F240" t="inlineStr">
        <is>
          <t>正保琉球国絵図写</t>
        </is>
      </c>
      <c r="G240" t="inlineStr"/>
      <c r="H240" t="inlineStr"/>
      <c r="I240" t="inlineStr">
        <is>
          <t>166</t>
        </is>
      </c>
      <c r="J240" t="inlineStr"/>
      <c r="K240" t="inlineStr"/>
      <c r="L240" s="1">
        <f>HYPERLINK("https://www.hi.u-tokyo.ac.jp/collection/degitalgallary/ryukyu/item/10239", "https://www.hi.u-tokyo.ac.jp/collection/degitalgallary/ryukyu/item/10239")</f>
        <v/>
      </c>
    </row>
    <row r="241">
      <c r="A241" t="inlineStr">
        <is>
          <t>10240</t>
        </is>
      </c>
      <c r="B241" t="inlineStr">
        <is>
          <t>われ瀬</t>
        </is>
      </c>
      <c r="C241" t="inlineStr">
        <is>
          <t>干瀬</t>
        </is>
      </c>
      <c r="D241" t="inlineStr">
        <is>
          <t>28.189979</t>
        </is>
      </c>
      <c r="E241" t="inlineStr">
        <is>
          <t>129.1630761</t>
        </is>
      </c>
      <c r="F241" t="inlineStr">
        <is>
          <t>正保琉球国絵図写</t>
        </is>
      </c>
      <c r="G241" t="inlineStr"/>
      <c r="H241" t="inlineStr"/>
      <c r="I241" t="inlineStr">
        <is>
          <t>167</t>
        </is>
      </c>
      <c r="J241" t="inlineStr"/>
      <c r="K241" t="inlineStr">
        <is>
          <t>鹿児島県大島郡瀬戸内町実久</t>
        </is>
      </c>
      <c r="L241" s="1">
        <f>HYPERLINK("https://www.hi.u-tokyo.ac.jp/collection/degitalgallary/ryukyu/item/10240", "https://www.hi.u-tokyo.ac.jp/collection/degitalgallary/ryukyu/item/10240")</f>
        <v/>
      </c>
    </row>
    <row r="242">
      <c r="A242" t="inlineStr">
        <is>
          <t>10241</t>
        </is>
      </c>
      <c r="B242" t="inlineStr">
        <is>
          <t>ゑにや</t>
        </is>
      </c>
      <c r="C242" t="inlineStr">
        <is>
          <t>その他</t>
        </is>
      </c>
      <c r="D242" t="inlineStr">
        <is>
          <t>28.1956116</t>
        </is>
      </c>
      <c r="E242" t="inlineStr">
        <is>
          <t>129.1688066</t>
        </is>
      </c>
      <c r="F242" t="inlineStr">
        <is>
          <t>正保琉球国絵図写</t>
        </is>
      </c>
      <c r="G242" t="inlineStr"/>
      <c r="H242" t="inlineStr"/>
      <c r="I242" t="inlineStr">
        <is>
          <t>168</t>
        </is>
      </c>
      <c r="J242" t="inlineStr"/>
      <c r="K242" t="inlineStr">
        <is>
          <t>鹿児島県大島郡瀬戸内町実久</t>
        </is>
      </c>
      <c r="L242" s="1">
        <f>HYPERLINK("https://www.hi.u-tokyo.ac.jp/collection/degitalgallary/ryukyu/item/10241", "https://www.hi.u-tokyo.ac.jp/collection/degitalgallary/ryukyu/item/10241")</f>
        <v/>
      </c>
    </row>
    <row r="243">
      <c r="A243" t="inlineStr">
        <is>
          <t>10242</t>
        </is>
      </c>
      <c r="B243" t="inlineStr">
        <is>
          <t>くさせ</t>
        </is>
      </c>
      <c r="C243" t="inlineStr">
        <is>
          <t>干瀬</t>
        </is>
      </c>
      <c r="D243" t="inlineStr"/>
      <c r="E243" t="inlineStr"/>
      <c r="F243" t="inlineStr">
        <is>
          <t>正保琉球国絵図写</t>
        </is>
      </c>
      <c r="G243" t="inlineStr"/>
      <c r="H243" t="inlineStr"/>
      <c r="I243" t="inlineStr">
        <is>
          <t>169</t>
        </is>
      </c>
      <c r="J243" t="inlineStr"/>
      <c r="K243" t="inlineStr"/>
      <c r="L243" s="1">
        <f>HYPERLINK("https://www.hi.u-tokyo.ac.jp/collection/degitalgallary/ryukyu/item/10242", "https://www.hi.u-tokyo.ac.jp/collection/degitalgallary/ryukyu/item/10242")</f>
        <v/>
      </c>
    </row>
    <row r="244">
      <c r="A244" t="inlineStr">
        <is>
          <t>10243</t>
        </is>
      </c>
      <c r="B244" t="inlineStr">
        <is>
          <t>立神</t>
        </is>
      </c>
      <c r="C244" t="inlineStr">
        <is>
          <t>その他</t>
        </is>
      </c>
      <c r="D244" t="inlineStr">
        <is>
          <t>28.2045462</t>
        </is>
      </c>
      <c r="E244" t="inlineStr">
        <is>
          <t>129.209873</t>
        </is>
      </c>
      <c r="F244" t="inlineStr">
        <is>
          <t>正保琉球国絵図写</t>
        </is>
      </c>
      <c r="G244" t="inlineStr"/>
      <c r="H244" t="inlineStr"/>
      <c r="I244" t="inlineStr">
        <is>
          <t>170</t>
        </is>
      </c>
      <c r="J244" t="inlineStr"/>
      <c r="K244" t="inlineStr">
        <is>
          <t>鹿児島県大島郡瀬戸内町芝</t>
        </is>
      </c>
      <c r="L244" s="1">
        <f>HYPERLINK("https://www.hi.u-tokyo.ac.jp/collection/degitalgallary/ryukyu/item/10243", "https://www.hi.u-tokyo.ac.jp/collection/degitalgallary/ryukyu/item/10243")</f>
        <v/>
      </c>
    </row>
    <row r="245">
      <c r="A245" t="inlineStr">
        <is>
          <t>10244</t>
        </is>
      </c>
      <c r="B245" t="inlineStr">
        <is>
          <t>赤崎</t>
        </is>
      </c>
      <c r="C245" t="inlineStr">
        <is>
          <t>崎</t>
        </is>
      </c>
      <c r="D245" t="inlineStr">
        <is>
          <t>28.1992077</t>
        </is>
      </c>
      <c r="E245" t="inlineStr">
        <is>
          <t>129.2092644</t>
        </is>
      </c>
      <c r="F245" t="inlineStr">
        <is>
          <t>正保琉球国絵図写</t>
        </is>
      </c>
      <c r="G245" t="inlineStr"/>
      <c r="H245" t="inlineStr"/>
      <c r="I245" t="inlineStr">
        <is>
          <t>171</t>
        </is>
      </c>
      <c r="J245" t="inlineStr"/>
      <c r="K245" t="inlineStr">
        <is>
          <t>鹿児島県大島郡瀬戸内町芝</t>
        </is>
      </c>
      <c r="L245" s="1">
        <f>HYPERLINK("https://www.hi.u-tokyo.ac.jp/collection/degitalgallary/ryukyu/item/10244", "https://www.hi.u-tokyo.ac.jp/collection/degitalgallary/ryukyu/item/10244")</f>
        <v/>
      </c>
    </row>
    <row r="246">
      <c r="A246" t="inlineStr">
        <is>
          <t>10245</t>
        </is>
      </c>
      <c r="B246" t="inlineStr">
        <is>
          <t>此浦西風北風東風之時船繋リ不成</t>
        </is>
      </c>
      <c r="C246" t="inlineStr">
        <is>
          <t>港湾</t>
        </is>
      </c>
      <c r="D246" t="inlineStr"/>
      <c r="E246" t="inlineStr"/>
      <c r="F246" t="inlineStr">
        <is>
          <t>正保琉球国絵図写</t>
        </is>
      </c>
      <c r="G246" t="inlineStr"/>
      <c r="H246" t="inlineStr"/>
      <c r="I246" t="inlineStr">
        <is>
          <t>172</t>
        </is>
      </c>
      <c r="J246" t="inlineStr"/>
      <c r="K246" t="inlineStr"/>
      <c r="L246" s="1">
        <f>HYPERLINK("https://www.hi.u-tokyo.ac.jp/collection/degitalgallary/ryukyu/item/10245", "https://www.hi.u-tokyo.ac.jp/collection/degitalgallary/ryukyu/item/10245")</f>
        <v/>
      </c>
    </row>
    <row r="247">
      <c r="A247" t="inlineStr">
        <is>
          <t>10246</t>
        </is>
      </c>
      <c r="B247" t="inlineStr">
        <is>
          <t>いなかさ崎</t>
        </is>
      </c>
      <c r="C247" t="inlineStr">
        <is>
          <t>崎</t>
        </is>
      </c>
      <c r="D247" t="inlineStr">
        <is>
          <t>28.1971362</t>
        </is>
      </c>
      <c r="E247" t="inlineStr">
        <is>
          <t>129.2311112</t>
        </is>
      </c>
      <c r="F247" t="inlineStr">
        <is>
          <t>正保琉球国絵図写</t>
        </is>
      </c>
      <c r="G247" t="inlineStr"/>
      <c r="H247" t="inlineStr"/>
      <c r="I247" t="inlineStr">
        <is>
          <t>173</t>
        </is>
      </c>
      <c r="J247" t="inlineStr"/>
      <c r="K247" t="inlineStr">
        <is>
          <t>鹿児島県大島郡瀬戸内町芝</t>
        </is>
      </c>
      <c r="L247" s="1">
        <f>HYPERLINK("https://www.hi.u-tokyo.ac.jp/collection/degitalgallary/ryukyu/item/10246", "https://www.hi.u-tokyo.ac.jp/collection/degitalgallary/ryukyu/item/10246")</f>
        <v/>
      </c>
    </row>
    <row r="248">
      <c r="A248" t="inlineStr">
        <is>
          <t>10247</t>
        </is>
      </c>
      <c r="B248" t="inlineStr">
        <is>
          <t>すけもくの崎</t>
        </is>
      </c>
      <c r="C248" t="inlineStr">
        <is>
          <t>崎</t>
        </is>
      </c>
      <c r="D248" t="inlineStr">
        <is>
          <t>28.1868211</t>
        </is>
      </c>
      <c r="E248" t="inlineStr">
        <is>
          <t>129.2408575</t>
        </is>
      </c>
      <c r="F248" t="inlineStr">
        <is>
          <t>正保琉球国絵図写</t>
        </is>
      </c>
      <c r="G248" t="inlineStr"/>
      <c r="H248" t="inlineStr"/>
      <c r="I248" t="inlineStr">
        <is>
          <t>174</t>
        </is>
      </c>
      <c r="J248" t="inlineStr"/>
      <c r="K248" t="inlineStr">
        <is>
          <t>鹿児島県大島郡瀬戸内町芝</t>
        </is>
      </c>
      <c r="L248" s="1">
        <f>HYPERLINK("https://www.hi.u-tokyo.ac.jp/collection/degitalgallary/ryukyu/item/10247", "https://www.hi.u-tokyo.ac.jp/collection/degitalgallary/ryukyu/item/10247")</f>
        <v/>
      </c>
    </row>
    <row r="249">
      <c r="A249" t="inlineStr">
        <is>
          <t>10248</t>
        </is>
      </c>
      <c r="B249" t="inlineStr">
        <is>
          <t>きさき崎</t>
        </is>
      </c>
      <c r="C249" t="inlineStr">
        <is>
          <t>崎</t>
        </is>
      </c>
      <c r="D249" t="inlineStr">
        <is>
          <t>28.1657112</t>
        </is>
      </c>
      <c r="E249" t="inlineStr">
        <is>
          <t>129.2222481</t>
        </is>
      </c>
      <c r="F249" t="inlineStr">
        <is>
          <t>正保琉球国絵図写</t>
        </is>
      </c>
      <c r="G249" t="inlineStr"/>
      <c r="H249" t="inlineStr"/>
      <c r="I249" t="inlineStr">
        <is>
          <t>175</t>
        </is>
      </c>
      <c r="J249" t="inlineStr"/>
      <c r="K249" t="inlineStr">
        <is>
          <t>鹿児島県大島郡瀬戸内町木慈</t>
        </is>
      </c>
      <c r="L249" s="1">
        <f>HYPERLINK("https://www.hi.u-tokyo.ac.jp/collection/degitalgallary/ryukyu/item/10248", "https://www.hi.u-tokyo.ac.jp/collection/degitalgallary/ryukyu/item/10248")</f>
        <v/>
      </c>
    </row>
    <row r="250">
      <c r="A250" t="inlineStr">
        <is>
          <t>10249</t>
        </is>
      </c>
      <c r="B250" t="inlineStr">
        <is>
          <t>赤崎</t>
        </is>
      </c>
      <c r="C250" t="inlineStr">
        <is>
          <t>崎</t>
        </is>
      </c>
      <c r="D250" t="inlineStr">
        <is>
          <t>28.158005</t>
        </is>
      </c>
      <c r="E250" t="inlineStr">
        <is>
          <t>129.273976</t>
        </is>
      </c>
      <c r="F250" t="inlineStr">
        <is>
          <t>正保琉球国絵図写</t>
        </is>
      </c>
      <c r="G250" t="inlineStr"/>
      <c r="H250" t="inlineStr"/>
      <c r="I250" t="inlineStr">
        <is>
          <t>176</t>
        </is>
      </c>
      <c r="J250" t="inlineStr"/>
      <c r="K250" t="inlineStr">
        <is>
          <t>鹿児島県大島郡瀬戸内町三浦</t>
        </is>
      </c>
      <c r="L250" s="1">
        <f>HYPERLINK("https://www.hi.u-tokyo.ac.jp/collection/degitalgallary/ryukyu/item/10249", "https://www.hi.u-tokyo.ac.jp/collection/degitalgallary/ryukyu/item/10249")</f>
        <v/>
      </c>
    </row>
    <row r="251">
      <c r="A251" t="inlineStr">
        <is>
          <t>10250</t>
        </is>
      </c>
      <c r="B251" t="inlineStr">
        <is>
          <t>通り瀬</t>
        </is>
      </c>
      <c r="C251" t="inlineStr">
        <is>
          <t>干瀬</t>
        </is>
      </c>
      <c r="D251" t="inlineStr">
        <is>
          <t>28.158005</t>
        </is>
      </c>
      <c r="E251" t="inlineStr">
        <is>
          <t>129.273976</t>
        </is>
      </c>
      <c r="F251" t="inlineStr">
        <is>
          <t>正保琉球国絵図写</t>
        </is>
      </c>
      <c r="G251" t="inlineStr"/>
      <c r="H251" t="inlineStr"/>
      <c r="I251" t="inlineStr">
        <is>
          <t>177</t>
        </is>
      </c>
      <c r="J251" t="inlineStr"/>
      <c r="K251" t="inlineStr">
        <is>
          <t>鹿児島県大島郡瀬戸内町三浦</t>
        </is>
      </c>
      <c r="L251" s="1">
        <f>HYPERLINK("https://www.hi.u-tokyo.ac.jp/collection/degitalgallary/ryukyu/item/10250", "https://www.hi.u-tokyo.ac.jp/collection/degitalgallary/ryukyu/item/10250")</f>
        <v/>
      </c>
    </row>
    <row r="252">
      <c r="A252" t="inlineStr">
        <is>
          <t>10251</t>
        </is>
      </c>
      <c r="B252" t="inlineStr">
        <is>
          <t>大そね</t>
        </is>
      </c>
      <c r="C252" t="inlineStr">
        <is>
          <t>その他</t>
        </is>
      </c>
      <c r="D252" t="inlineStr">
        <is>
          <t>28.158005</t>
        </is>
      </c>
      <c r="E252" t="inlineStr">
        <is>
          <t>129.273976</t>
        </is>
      </c>
      <c r="F252" t="inlineStr">
        <is>
          <t>正保琉球国絵図写</t>
        </is>
      </c>
      <c r="G252" t="inlineStr"/>
      <c r="H252" t="inlineStr"/>
      <c r="I252" t="inlineStr">
        <is>
          <t>178</t>
        </is>
      </c>
      <c r="J252" t="inlineStr"/>
      <c r="K252" t="inlineStr">
        <is>
          <t>鹿児島県大島郡瀬戸内町三浦</t>
        </is>
      </c>
      <c r="L252" s="1">
        <f>HYPERLINK("https://www.hi.u-tokyo.ac.jp/collection/degitalgallary/ryukyu/item/10251", "https://www.hi.u-tokyo.ac.jp/collection/degitalgallary/ryukyu/item/10251")</f>
        <v/>
      </c>
    </row>
    <row r="253">
      <c r="A253" t="inlineStr">
        <is>
          <t>10252</t>
        </is>
      </c>
      <c r="B253" t="inlineStr">
        <is>
          <t>西ノ古見湊より住用湊迄、海上十三里</t>
        </is>
      </c>
      <c r="C253" t="inlineStr">
        <is>
          <t>航路</t>
        </is>
      </c>
      <c r="D253" t="inlineStr"/>
      <c r="E253" t="inlineStr"/>
      <c r="F253" t="inlineStr">
        <is>
          <t>正保琉球国絵図写</t>
        </is>
      </c>
      <c r="G253" t="inlineStr"/>
      <c r="H253" t="inlineStr"/>
      <c r="I253" t="inlineStr">
        <is>
          <t>179</t>
        </is>
      </c>
      <c r="J253" t="inlineStr"/>
      <c r="K253" t="inlineStr"/>
      <c r="L253" s="1">
        <f>HYPERLINK("https://www.hi.u-tokyo.ac.jp/collection/degitalgallary/ryukyu/item/10252", "https://www.hi.u-tokyo.ac.jp/collection/degitalgallary/ryukyu/item/10252")</f>
        <v/>
      </c>
    </row>
    <row r="254">
      <c r="A254" t="inlineStr">
        <is>
          <t>10253</t>
        </is>
      </c>
      <c r="B254" t="inlineStr">
        <is>
          <t>ひら小嶋</t>
        </is>
      </c>
      <c r="C254" t="inlineStr">
        <is>
          <t>その他</t>
        </is>
      </c>
      <c r="D254" t="inlineStr">
        <is>
          <t>28.149972</t>
        </is>
      </c>
      <c r="E254" t="inlineStr">
        <is>
          <t>129.277333</t>
        </is>
      </c>
      <c r="F254" t="inlineStr">
        <is>
          <t>正保琉球国絵図写</t>
        </is>
      </c>
      <c r="G254" t="inlineStr"/>
      <c r="H254" t="inlineStr"/>
      <c r="I254" t="inlineStr">
        <is>
          <t>180</t>
        </is>
      </c>
      <c r="J254" t="inlineStr"/>
      <c r="K254" t="inlineStr">
        <is>
          <t>鹿児島県大島郡瀬戸内町三浦</t>
        </is>
      </c>
      <c r="L254" s="1">
        <f>HYPERLINK("https://www.hi.u-tokyo.ac.jp/collection/degitalgallary/ryukyu/item/10253", "https://www.hi.u-tokyo.ac.jp/collection/degitalgallary/ryukyu/item/10253")</f>
        <v/>
      </c>
    </row>
    <row r="255">
      <c r="A255" t="inlineStr">
        <is>
          <t>10254</t>
        </is>
      </c>
      <c r="B255" t="inlineStr">
        <is>
          <t>赤崎</t>
        </is>
      </c>
      <c r="C255" t="inlineStr">
        <is>
          <t>崎</t>
        </is>
      </c>
      <c r="D255" t="inlineStr"/>
      <c r="E255" t="inlineStr"/>
      <c r="F255" t="inlineStr">
        <is>
          <t>正保琉球国絵図写</t>
        </is>
      </c>
      <c r="G255" t="inlineStr"/>
      <c r="H255" t="inlineStr"/>
      <c r="I255" t="inlineStr">
        <is>
          <t>181</t>
        </is>
      </c>
      <c r="J255" t="inlineStr"/>
      <c r="K255" t="inlineStr"/>
      <c r="L255" s="1">
        <f>HYPERLINK("https://www.hi.u-tokyo.ac.jp/collection/degitalgallary/ryukyu/item/10254", "https://www.hi.u-tokyo.ac.jp/collection/degitalgallary/ryukyu/item/10254")</f>
        <v/>
      </c>
    </row>
    <row r="256">
      <c r="A256" t="inlineStr">
        <is>
          <t>10255</t>
        </is>
      </c>
      <c r="B256" t="inlineStr">
        <is>
          <t>あさまちや之崎</t>
        </is>
      </c>
      <c r="C256" t="inlineStr">
        <is>
          <t>崎</t>
        </is>
      </c>
      <c r="D256" t="inlineStr">
        <is>
          <t>28.1319722</t>
        </is>
      </c>
      <c r="E256" t="inlineStr">
        <is>
          <t>129.2491667</t>
        </is>
      </c>
      <c r="F256" t="inlineStr">
        <is>
          <t>正保琉球国絵図写</t>
        </is>
      </c>
      <c r="G256" t="inlineStr"/>
      <c r="H256" t="inlineStr"/>
      <c r="I256" t="inlineStr">
        <is>
          <t>182</t>
        </is>
      </c>
      <c r="J256" t="inlineStr"/>
      <c r="K256" t="inlineStr">
        <is>
          <t>鹿児島県大島郡瀬戸内町瀬相</t>
        </is>
      </c>
      <c r="L256" s="1">
        <f>HYPERLINK("https://www.hi.u-tokyo.ac.jp/collection/degitalgallary/ryukyu/item/10255", "https://www.hi.u-tokyo.ac.jp/collection/degitalgallary/ryukyu/item/10255")</f>
        <v/>
      </c>
    </row>
    <row r="257">
      <c r="A257" t="inlineStr">
        <is>
          <t>10256</t>
        </is>
      </c>
      <c r="B257" t="inlineStr">
        <is>
          <t>大嶋之内　かけろま嶋、嶋廻り拾五里</t>
        </is>
      </c>
      <c r="C257" t="inlineStr">
        <is>
          <t>島</t>
        </is>
      </c>
      <c r="D257" t="inlineStr">
        <is>
          <t>28.1167565</t>
        </is>
      </c>
      <c r="E257" t="inlineStr">
        <is>
          <t>129.242746</t>
        </is>
      </c>
      <c r="F257" t="inlineStr">
        <is>
          <t>正保琉球国絵図写</t>
        </is>
      </c>
      <c r="G257" t="inlineStr"/>
      <c r="H257" t="inlineStr"/>
      <c r="I257" t="inlineStr">
        <is>
          <t>183</t>
        </is>
      </c>
      <c r="J257" t="inlineStr"/>
      <c r="K257" t="inlineStr">
        <is>
          <t>鹿児島県大島郡瀬戸内町瀬相</t>
        </is>
      </c>
      <c r="L257" s="1">
        <f>HYPERLINK("https://www.hi.u-tokyo.ac.jp/collection/degitalgallary/ryukyu/item/10256", "https://www.hi.u-tokyo.ac.jp/collection/degitalgallary/ryukyu/item/10256")</f>
        <v/>
      </c>
    </row>
    <row r="258">
      <c r="A258" t="inlineStr">
        <is>
          <t>10257</t>
        </is>
      </c>
      <c r="B258" t="inlineStr">
        <is>
          <t>大崎</t>
        </is>
      </c>
      <c r="C258" t="inlineStr">
        <is>
          <t>崎</t>
        </is>
      </c>
      <c r="D258" t="inlineStr"/>
      <c r="E258" t="inlineStr"/>
      <c r="F258" t="inlineStr">
        <is>
          <t>正保琉球国絵図写</t>
        </is>
      </c>
      <c r="G258" t="inlineStr"/>
      <c r="H258" t="inlineStr"/>
      <c r="I258" t="inlineStr">
        <is>
          <t>184</t>
        </is>
      </c>
      <c r="J258" t="inlineStr"/>
      <c r="K258" t="inlineStr"/>
      <c r="L258" s="1">
        <f>HYPERLINK("https://www.hi.u-tokyo.ac.jp/collection/degitalgallary/ryukyu/item/10257", "https://www.hi.u-tokyo.ac.jp/collection/degitalgallary/ryukyu/item/10257")</f>
        <v/>
      </c>
    </row>
    <row r="259">
      <c r="A259" t="inlineStr">
        <is>
          <t>10258</t>
        </is>
      </c>
      <c r="B259" t="inlineStr">
        <is>
          <t>竹崎</t>
        </is>
      </c>
      <c r="C259" t="inlineStr">
        <is>
          <t>崎</t>
        </is>
      </c>
      <c r="D259" t="inlineStr">
        <is>
          <t>28.1238333</t>
        </is>
      </c>
      <c r="E259" t="inlineStr">
        <is>
          <t>129.2735556</t>
        </is>
      </c>
      <c r="F259" t="inlineStr">
        <is>
          <t>正保琉球国絵図写</t>
        </is>
      </c>
      <c r="G259" t="inlineStr"/>
      <c r="H259" t="inlineStr"/>
      <c r="I259" t="inlineStr">
        <is>
          <t>185</t>
        </is>
      </c>
      <c r="J259" t="inlineStr"/>
      <c r="K259" t="inlineStr">
        <is>
          <t>鹿児島県大島郡瀬戸内町押角</t>
        </is>
      </c>
      <c r="L259" s="1">
        <f>HYPERLINK("https://www.hi.u-tokyo.ac.jp/collection/degitalgallary/ryukyu/item/10258", "https://www.hi.u-tokyo.ac.jp/collection/degitalgallary/ryukyu/item/10258")</f>
        <v/>
      </c>
    </row>
    <row r="260">
      <c r="A260" t="inlineStr">
        <is>
          <t>10259</t>
        </is>
      </c>
      <c r="B260" t="inlineStr">
        <is>
          <t>しらき崎</t>
        </is>
      </c>
      <c r="C260" t="inlineStr">
        <is>
          <t>崎</t>
        </is>
      </c>
      <c r="D260" t="inlineStr">
        <is>
          <t>28.1247778</t>
        </is>
      </c>
      <c r="E260" t="inlineStr">
        <is>
          <t>129.2875556</t>
        </is>
      </c>
      <c r="F260" t="inlineStr">
        <is>
          <t>正保琉球国絵図写</t>
        </is>
      </c>
      <c r="G260" t="inlineStr"/>
      <c r="H260" t="inlineStr"/>
      <c r="I260" t="inlineStr">
        <is>
          <t>186</t>
        </is>
      </c>
      <c r="J260" t="inlineStr"/>
      <c r="K260" t="inlineStr">
        <is>
          <t>鹿児島県大島郡瀬戸内町勝能</t>
        </is>
      </c>
      <c r="L260" s="1">
        <f>HYPERLINK("https://www.hi.u-tokyo.ac.jp/collection/degitalgallary/ryukyu/item/10259", "https://www.hi.u-tokyo.ac.jp/collection/degitalgallary/ryukyu/item/10259")</f>
        <v/>
      </c>
    </row>
    <row r="261">
      <c r="A261" t="inlineStr">
        <is>
          <t>10260</t>
        </is>
      </c>
      <c r="B261" t="inlineStr">
        <is>
          <t>のゝ崎</t>
        </is>
      </c>
      <c r="C261" t="inlineStr">
        <is>
          <t>崎</t>
        </is>
      </c>
      <c r="D261" t="inlineStr"/>
      <c r="E261" t="inlineStr"/>
      <c r="F261" t="inlineStr">
        <is>
          <t>正保琉球国絵図写</t>
        </is>
      </c>
      <c r="G261" t="inlineStr"/>
      <c r="H261" t="inlineStr"/>
      <c r="I261" t="inlineStr">
        <is>
          <t>187</t>
        </is>
      </c>
      <c r="J261" t="inlineStr"/>
      <c r="K261" t="inlineStr"/>
      <c r="L261" s="1">
        <f>HYPERLINK("https://www.hi.u-tokyo.ac.jp/collection/degitalgallary/ryukyu/item/10260", "https://www.hi.u-tokyo.ac.jp/collection/degitalgallary/ryukyu/item/10260")</f>
        <v/>
      </c>
    </row>
    <row r="262">
      <c r="A262" t="inlineStr">
        <is>
          <t>10261</t>
        </is>
      </c>
      <c r="B262" t="inlineStr">
        <is>
          <t>とん崎</t>
        </is>
      </c>
      <c r="C262" t="inlineStr">
        <is>
          <t>崎</t>
        </is>
      </c>
      <c r="D262" t="inlineStr"/>
      <c r="E262" t="inlineStr"/>
      <c r="F262" t="inlineStr">
        <is>
          <t>正保琉球国絵図写</t>
        </is>
      </c>
      <c r="G262" t="inlineStr"/>
      <c r="H262" t="inlineStr"/>
      <c r="I262" t="inlineStr">
        <is>
          <t>188</t>
        </is>
      </c>
      <c r="J262" t="inlineStr"/>
      <c r="K262" t="inlineStr"/>
      <c r="L262" s="1">
        <f>HYPERLINK("https://www.hi.u-tokyo.ac.jp/collection/degitalgallary/ryukyu/item/10261", "https://www.hi.u-tokyo.ac.jp/collection/degitalgallary/ryukyu/item/10261")</f>
        <v/>
      </c>
    </row>
    <row r="263">
      <c r="A263" t="inlineStr">
        <is>
          <t>10262</t>
        </is>
      </c>
      <c r="B263" t="inlineStr">
        <is>
          <t>みんせ</t>
        </is>
      </c>
      <c r="C263" t="inlineStr">
        <is>
          <t>干瀬</t>
        </is>
      </c>
      <c r="D263" t="inlineStr">
        <is>
          <t>28.1048056</t>
        </is>
      </c>
      <c r="E263" t="inlineStr">
        <is>
          <t>129.3544167</t>
        </is>
      </c>
      <c r="F263" t="inlineStr">
        <is>
          <t>正保琉球国絵図写</t>
        </is>
      </c>
      <c r="G263" t="inlineStr"/>
      <c r="H263" t="inlineStr"/>
      <c r="I263" t="inlineStr">
        <is>
          <t>189</t>
        </is>
      </c>
      <c r="J263" t="inlineStr"/>
      <c r="K263" t="inlineStr">
        <is>
          <t>鹿児島県大島郡瀬戸内町渡連</t>
        </is>
      </c>
      <c r="L263" s="1">
        <f>HYPERLINK("https://www.hi.u-tokyo.ac.jp/collection/degitalgallary/ryukyu/item/10262", "https://www.hi.u-tokyo.ac.jp/collection/degitalgallary/ryukyu/item/10262")</f>
        <v/>
      </c>
    </row>
    <row r="264">
      <c r="A264" t="inlineStr">
        <is>
          <t>10263</t>
        </is>
      </c>
      <c r="B264" t="inlineStr">
        <is>
          <t>くせ</t>
        </is>
      </c>
      <c r="C264" t="inlineStr">
        <is>
          <t>干瀬</t>
        </is>
      </c>
      <c r="D264" t="inlineStr">
        <is>
          <t>28.0971667</t>
        </is>
      </c>
      <c r="E264" t="inlineStr">
        <is>
          <t>129.3598611</t>
        </is>
      </c>
      <c r="F264" t="inlineStr">
        <is>
          <t>正保琉球国絵図写</t>
        </is>
      </c>
      <c r="G264" t="inlineStr"/>
      <c r="H264" t="inlineStr"/>
      <c r="I264" t="inlineStr">
        <is>
          <t>190</t>
        </is>
      </c>
      <c r="J264" t="inlineStr"/>
      <c r="K264" t="inlineStr">
        <is>
          <t>鹿児島県大島郡瀬戸内町渡連</t>
        </is>
      </c>
      <c r="L264" s="1">
        <f>HYPERLINK("https://www.hi.u-tokyo.ac.jp/collection/degitalgallary/ryukyu/item/10263", "https://www.hi.u-tokyo.ac.jp/collection/degitalgallary/ryukyu/item/10263")</f>
        <v/>
      </c>
    </row>
    <row r="265">
      <c r="A265" t="inlineStr">
        <is>
          <t>10264</t>
        </is>
      </c>
      <c r="B265" t="inlineStr">
        <is>
          <t>かめ瀬</t>
        </is>
      </c>
      <c r="C265" t="inlineStr">
        <is>
          <t>干瀬</t>
        </is>
      </c>
      <c r="D265" t="inlineStr">
        <is>
          <t>28.095</t>
        </is>
      </c>
      <c r="E265" t="inlineStr">
        <is>
          <t>129.3482778</t>
        </is>
      </c>
      <c r="F265" t="inlineStr">
        <is>
          <t>正保琉球国絵図写</t>
        </is>
      </c>
      <c r="G265" t="inlineStr"/>
      <c r="H265" t="inlineStr"/>
      <c r="I265" t="inlineStr">
        <is>
          <t>191</t>
        </is>
      </c>
      <c r="J265" t="inlineStr"/>
      <c r="K265" t="inlineStr">
        <is>
          <t>鹿児島県大島郡瀬戸内町諸鈍</t>
        </is>
      </c>
      <c r="L265" s="1">
        <f>HYPERLINK("https://www.hi.u-tokyo.ac.jp/collection/degitalgallary/ryukyu/item/10264", "https://www.hi.u-tokyo.ac.jp/collection/degitalgallary/ryukyu/item/10264")</f>
        <v/>
      </c>
    </row>
    <row r="266">
      <c r="A266" t="inlineStr">
        <is>
          <t>10265</t>
        </is>
      </c>
      <c r="B266" t="inlineStr">
        <is>
          <t>平瀬</t>
        </is>
      </c>
      <c r="C266" t="inlineStr">
        <is>
          <t>干瀬</t>
        </is>
      </c>
      <c r="D266" t="inlineStr">
        <is>
          <t>28.0899167</t>
        </is>
      </c>
      <c r="E266" t="inlineStr">
        <is>
          <t>129.3454722</t>
        </is>
      </c>
      <c r="F266" t="inlineStr">
        <is>
          <t>正保琉球国絵図写</t>
        </is>
      </c>
      <c r="G266" t="inlineStr"/>
      <c r="H266" t="inlineStr"/>
      <c r="I266" t="inlineStr">
        <is>
          <t>192</t>
        </is>
      </c>
      <c r="J266" t="inlineStr"/>
      <c r="K266" t="inlineStr">
        <is>
          <t>鹿児島県大島郡瀬戸内町諸鈍</t>
        </is>
      </c>
      <c r="L266" s="1">
        <f>HYPERLINK("https://www.hi.u-tokyo.ac.jp/collection/degitalgallary/ryukyu/item/10265", "https://www.hi.u-tokyo.ac.jp/collection/degitalgallary/ryukyu/item/10265")</f>
        <v/>
      </c>
    </row>
    <row r="267">
      <c r="A267" t="inlineStr">
        <is>
          <t>10266</t>
        </is>
      </c>
      <c r="B267" t="inlineStr">
        <is>
          <t>大立神</t>
        </is>
      </c>
      <c r="C267" t="inlineStr">
        <is>
          <t>その他</t>
        </is>
      </c>
      <c r="D267" t="inlineStr">
        <is>
          <t>28.07625</t>
        </is>
      </c>
      <c r="E267" t="inlineStr">
        <is>
          <t>129.3406667</t>
        </is>
      </c>
      <c r="F267" t="inlineStr">
        <is>
          <t>正保琉球国絵図写</t>
        </is>
      </c>
      <c r="G267" t="inlineStr"/>
      <c r="H267" t="inlineStr"/>
      <c r="I267" t="inlineStr">
        <is>
          <t>193</t>
        </is>
      </c>
      <c r="J267" t="inlineStr"/>
      <c r="K267" t="inlineStr">
        <is>
          <t>鹿児島県大島郡瀬戸内町諸鈍</t>
        </is>
      </c>
      <c r="L267" s="1">
        <f>HYPERLINK("https://www.hi.u-tokyo.ac.jp/collection/degitalgallary/ryukyu/item/10266", "https://www.hi.u-tokyo.ac.jp/collection/degitalgallary/ryukyu/item/10266")</f>
        <v/>
      </c>
    </row>
    <row r="268">
      <c r="A268" t="inlineStr">
        <is>
          <t>10267</t>
        </is>
      </c>
      <c r="B268" t="inlineStr">
        <is>
          <t>とく浜</t>
        </is>
      </c>
      <c r="C268" t="inlineStr">
        <is>
          <t>その他</t>
        </is>
      </c>
      <c r="D268" t="inlineStr"/>
      <c r="E268" t="inlineStr"/>
      <c r="F268" t="inlineStr">
        <is>
          <t>正保琉球国絵図写</t>
        </is>
      </c>
      <c r="G268" t="inlineStr"/>
      <c r="H268" t="inlineStr"/>
      <c r="I268" t="inlineStr"/>
      <c r="J268" t="inlineStr"/>
      <c r="K268" t="inlineStr"/>
      <c r="L268" s="1">
        <f>HYPERLINK("https://www.hi.u-tokyo.ac.jp/collection/degitalgallary/ryukyu/item/10267", "https://www.hi.u-tokyo.ac.jp/collection/degitalgallary/ryukyu/item/10267")</f>
        <v/>
      </c>
    </row>
    <row r="269">
      <c r="A269" t="inlineStr">
        <is>
          <t>10268</t>
        </is>
      </c>
      <c r="B269" t="inlineStr">
        <is>
          <t>二ツ瀬</t>
        </is>
      </c>
      <c r="C269" t="inlineStr">
        <is>
          <t>干瀬</t>
        </is>
      </c>
      <c r="D269" t="inlineStr">
        <is>
          <t>28.0621389</t>
        </is>
      </c>
      <c r="E269" t="inlineStr">
        <is>
          <t>129.3181944</t>
        </is>
      </c>
      <c r="F269" t="inlineStr">
        <is>
          <t>正保琉球国絵図写</t>
        </is>
      </c>
      <c r="G269" t="inlineStr"/>
      <c r="H269" t="inlineStr"/>
      <c r="I269" t="inlineStr">
        <is>
          <t>194</t>
        </is>
      </c>
      <c r="J269" t="inlineStr"/>
      <c r="K269" t="inlineStr">
        <is>
          <t>鹿児島県大島郡瀬戸内町諸鈍</t>
        </is>
      </c>
      <c r="L269" s="1">
        <f>HYPERLINK("https://www.hi.u-tokyo.ac.jp/collection/degitalgallary/ryukyu/item/10268", "https://www.hi.u-tokyo.ac.jp/collection/degitalgallary/ryukyu/item/10268")</f>
        <v/>
      </c>
    </row>
    <row r="270">
      <c r="A270" t="inlineStr">
        <is>
          <t>10269</t>
        </is>
      </c>
      <c r="B270" t="inlineStr">
        <is>
          <t>長浜</t>
        </is>
      </c>
      <c r="C270" t="inlineStr">
        <is>
          <t>その他</t>
        </is>
      </c>
      <c r="D270" t="inlineStr">
        <is>
          <t>28.0686111</t>
        </is>
      </c>
      <c r="E270" t="inlineStr">
        <is>
          <t>129.3213611</t>
        </is>
      </c>
      <c r="F270" t="inlineStr">
        <is>
          <t>正保琉球国絵図写</t>
        </is>
      </c>
      <c r="G270" t="inlineStr"/>
      <c r="H270" t="inlineStr"/>
      <c r="I270" t="inlineStr">
        <is>
          <t>195</t>
        </is>
      </c>
      <c r="J270" t="inlineStr"/>
      <c r="K270" t="inlineStr">
        <is>
          <t>鹿児島県大島郡瀬戸内町諸鈍</t>
        </is>
      </c>
      <c r="L270" s="1">
        <f>HYPERLINK("https://www.hi.u-tokyo.ac.jp/collection/degitalgallary/ryukyu/item/10269", "https://www.hi.u-tokyo.ac.jp/collection/degitalgallary/ryukyu/item/10269")</f>
        <v/>
      </c>
    </row>
    <row r="271">
      <c r="A271" t="inlineStr">
        <is>
          <t>10270</t>
        </is>
      </c>
      <c r="B271" t="inlineStr">
        <is>
          <t>かまひせ</t>
        </is>
      </c>
      <c r="C271" t="inlineStr">
        <is>
          <t>干瀬</t>
        </is>
      </c>
      <c r="D271" t="inlineStr">
        <is>
          <t>28.0857778</t>
        </is>
      </c>
      <c r="E271" t="inlineStr">
        <is>
          <t>129.2903889</t>
        </is>
      </c>
      <c r="F271" t="inlineStr">
        <is>
          <t>正保琉球国絵図写</t>
        </is>
      </c>
      <c r="G271" t="inlineStr"/>
      <c r="H271" t="inlineStr"/>
      <c r="I271" t="inlineStr">
        <is>
          <t>196</t>
        </is>
      </c>
      <c r="J271" t="inlineStr"/>
      <c r="K271" t="inlineStr">
        <is>
          <t>鹿児島県大島郡瀬戸内町秋徳</t>
        </is>
      </c>
      <c r="L271" s="1">
        <f>HYPERLINK("https://www.hi.u-tokyo.ac.jp/collection/degitalgallary/ryukyu/item/10270", "https://www.hi.u-tokyo.ac.jp/collection/degitalgallary/ryukyu/item/10270")</f>
        <v/>
      </c>
    </row>
    <row r="272">
      <c r="A272" t="inlineStr">
        <is>
          <t>10271</t>
        </is>
      </c>
      <c r="B272" t="inlineStr">
        <is>
          <t>平瀬</t>
        </is>
      </c>
      <c r="C272" t="inlineStr">
        <is>
          <t>干瀬</t>
        </is>
      </c>
      <c r="D272" t="inlineStr"/>
      <c r="E272" t="inlineStr"/>
      <c r="F272" t="inlineStr">
        <is>
          <t>正保琉球国絵図写</t>
        </is>
      </c>
      <c r="G272" t="inlineStr"/>
      <c r="H272" t="inlineStr"/>
      <c r="I272" t="inlineStr">
        <is>
          <t>197</t>
        </is>
      </c>
      <c r="J272" t="inlineStr"/>
      <c r="K272" t="inlineStr"/>
      <c r="L272" s="1">
        <f>HYPERLINK("https://www.hi.u-tokyo.ac.jp/collection/degitalgallary/ryukyu/item/10271", "https://www.hi.u-tokyo.ac.jp/collection/degitalgallary/ryukyu/item/10271")</f>
        <v/>
      </c>
    </row>
    <row r="273">
      <c r="A273" t="inlineStr">
        <is>
          <t>10272</t>
        </is>
      </c>
      <c r="B273" t="inlineStr">
        <is>
          <t>地のはなれ</t>
        </is>
      </c>
      <c r="C273" t="inlineStr">
        <is>
          <t>その他</t>
        </is>
      </c>
      <c r="D273" t="inlineStr"/>
      <c r="E273" t="inlineStr"/>
      <c r="F273" t="inlineStr">
        <is>
          <t>正保琉球国絵図写</t>
        </is>
      </c>
      <c r="G273" t="inlineStr"/>
      <c r="H273" t="inlineStr"/>
      <c r="I273" t="inlineStr">
        <is>
          <t>198</t>
        </is>
      </c>
      <c r="J273" t="inlineStr"/>
      <c r="K273" t="inlineStr"/>
      <c r="L273" s="1">
        <f>HYPERLINK("https://www.hi.u-tokyo.ac.jp/collection/degitalgallary/ryukyu/item/10272", "https://www.hi.u-tokyo.ac.jp/collection/degitalgallary/ryukyu/item/10272")</f>
        <v/>
      </c>
    </row>
    <row r="274">
      <c r="A274" t="inlineStr">
        <is>
          <t>10273</t>
        </is>
      </c>
      <c r="B274" t="inlineStr">
        <is>
          <t>くさ瀬</t>
        </is>
      </c>
      <c r="C274" t="inlineStr">
        <is>
          <t>干瀬</t>
        </is>
      </c>
      <c r="D274" t="inlineStr"/>
      <c r="E274" t="inlineStr"/>
      <c r="F274" t="inlineStr">
        <is>
          <t>正保琉球国絵図写</t>
        </is>
      </c>
      <c r="G274" t="inlineStr"/>
      <c r="H274" t="inlineStr"/>
      <c r="I274" t="inlineStr">
        <is>
          <t>199</t>
        </is>
      </c>
      <c r="J274" t="inlineStr"/>
      <c r="K274" t="inlineStr"/>
      <c r="L274" s="1">
        <f>HYPERLINK("https://www.hi.u-tokyo.ac.jp/collection/degitalgallary/ryukyu/item/10273", "https://www.hi.u-tokyo.ac.jp/collection/degitalgallary/ryukyu/item/10273")</f>
        <v/>
      </c>
    </row>
    <row r="275">
      <c r="A275" t="inlineStr">
        <is>
          <t>10274</t>
        </is>
      </c>
      <c r="B275" t="inlineStr">
        <is>
          <t>赤崎</t>
        </is>
      </c>
      <c r="C275" t="inlineStr">
        <is>
          <t>崎</t>
        </is>
      </c>
      <c r="D275" t="inlineStr"/>
      <c r="E275" t="inlineStr"/>
      <c r="F275" t="inlineStr">
        <is>
          <t>正保琉球国絵図写</t>
        </is>
      </c>
      <c r="G275" t="inlineStr"/>
      <c r="H275" t="inlineStr"/>
      <c r="I275" t="inlineStr">
        <is>
          <t>200</t>
        </is>
      </c>
      <c r="J275" t="inlineStr"/>
      <c r="K275" t="inlineStr"/>
      <c r="L275" s="1">
        <f>HYPERLINK("https://www.hi.u-tokyo.ac.jp/collection/degitalgallary/ryukyu/item/10274", "https://www.hi.u-tokyo.ac.jp/collection/degitalgallary/ryukyu/item/10274")</f>
        <v/>
      </c>
    </row>
    <row r="276">
      <c r="A276" t="inlineStr">
        <is>
          <t>10275</t>
        </is>
      </c>
      <c r="B276" t="inlineStr">
        <is>
          <t>此間十五町</t>
        </is>
      </c>
      <c r="C276" t="inlineStr">
        <is>
          <t>その他</t>
        </is>
      </c>
      <c r="D276" t="inlineStr"/>
      <c r="E276" t="inlineStr"/>
      <c r="F276" t="inlineStr">
        <is>
          <t>正保琉球国絵図写</t>
        </is>
      </c>
      <c r="G276" t="inlineStr"/>
      <c r="H276" t="inlineStr"/>
      <c r="I276" t="inlineStr">
        <is>
          <t>201</t>
        </is>
      </c>
      <c r="J276" t="inlineStr"/>
      <c r="K276" t="inlineStr"/>
      <c r="L276" s="1">
        <f>HYPERLINK("https://www.hi.u-tokyo.ac.jp/collection/degitalgallary/ryukyu/item/10275", "https://www.hi.u-tokyo.ac.jp/collection/degitalgallary/ryukyu/item/10275")</f>
        <v/>
      </c>
    </row>
    <row r="277">
      <c r="A277" t="inlineStr">
        <is>
          <t>10276</t>
        </is>
      </c>
      <c r="B277" t="inlineStr">
        <is>
          <t>すりかふ瀬</t>
        </is>
      </c>
      <c r="C277" t="inlineStr">
        <is>
          <t>干瀬</t>
        </is>
      </c>
      <c r="D277" t="inlineStr">
        <is>
          <t>28.085924</t>
        </is>
      </c>
      <c r="E277" t="inlineStr">
        <is>
          <t>129.21231</t>
        </is>
      </c>
      <c r="F277" t="inlineStr">
        <is>
          <t>正保琉球国絵図写</t>
        </is>
      </c>
      <c r="G277" t="inlineStr"/>
      <c r="H277" t="inlineStr"/>
      <c r="I277" t="inlineStr">
        <is>
          <t>202</t>
        </is>
      </c>
      <c r="J277" t="inlineStr"/>
      <c r="K277" t="inlineStr">
        <is>
          <t>鹿児島県大島郡瀬戸内町西阿室</t>
        </is>
      </c>
      <c r="L277" s="1">
        <f>HYPERLINK("https://www.hi.u-tokyo.ac.jp/collection/degitalgallary/ryukyu/item/10276", "https://www.hi.u-tokyo.ac.jp/collection/degitalgallary/ryukyu/item/10276")</f>
        <v/>
      </c>
    </row>
    <row r="278">
      <c r="A278" t="inlineStr">
        <is>
          <t>10277</t>
        </is>
      </c>
      <c r="B278" t="inlineStr">
        <is>
          <t>立神</t>
        </is>
      </c>
      <c r="C278" t="inlineStr">
        <is>
          <t>その他</t>
        </is>
      </c>
      <c r="D278" t="inlineStr">
        <is>
          <t>28.1606097</t>
        </is>
      </c>
      <c r="E278" t="inlineStr">
        <is>
          <t>129.1848649</t>
        </is>
      </c>
      <c r="F278" t="inlineStr">
        <is>
          <t>正保琉球国絵図写</t>
        </is>
      </c>
      <c r="G278" t="inlineStr"/>
      <c r="H278" t="inlineStr"/>
      <c r="I278" t="inlineStr">
        <is>
          <t>203</t>
        </is>
      </c>
      <c r="J278" t="inlineStr"/>
      <c r="K278" t="inlineStr">
        <is>
          <t>鹿児島県大島郡瀬戸内町薩川</t>
        </is>
      </c>
      <c r="L278" s="1">
        <f>HYPERLINK("https://www.hi.u-tokyo.ac.jp/collection/degitalgallary/ryukyu/item/10277", "https://www.hi.u-tokyo.ac.jp/collection/degitalgallary/ryukyu/item/10277")</f>
        <v/>
      </c>
    </row>
    <row r="279">
      <c r="A279" t="inlineStr">
        <is>
          <t>10278</t>
        </is>
      </c>
      <c r="B279" t="inlineStr">
        <is>
          <t>やんま崎</t>
        </is>
      </c>
      <c r="C279" t="inlineStr">
        <is>
          <t>崎</t>
        </is>
      </c>
      <c r="D279" t="inlineStr"/>
      <c r="E279" t="inlineStr"/>
      <c r="F279" t="inlineStr">
        <is>
          <t>正保琉球国絵図写</t>
        </is>
      </c>
      <c r="G279" t="inlineStr"/>
      <c r="H279" t="inlineStr"/>
      <c r="I279" t="inlineStr">
        <is>
          <t>204</t>
        </is>
      </c>
      <c r="J279" t="inlineStr"/>
      <c r="K279" t="inlineStr"/>
      <c r="L279" s="1">
        <f>HYPERLINK("https://www.hi.u-tokyo.ac.jp/collection/degitalgallary/ryukyu/item/10278", "https://www.hi.u-tokyo.ac.jp/collection/degitalgallary/ryukyu/item/10278")</f>
        <v/>
      </c>
    </row>
    <row r="280">
      <c r="A280" t="inlineStr">
        <is>
          <t>10279</t>
        </is>
      </c>
      <c r="B280" t="inlineStr">
        <is>
          <t>立神</t>
        </is>
      </c>
      <c r="C280" t="inlineStr">
        <is>
          <t>その他</t>
        </is>
      </c>
      <c r="D280" t="inlineStr"/>
      <c r="E280" t="inlineStr"/>
      <c r="F280" t="inlineStr">
        <is>
          <t>正保琉球国絵図写</t>
        </is>
      </c>
      <c r="G280" t="inlineStr"/>
      <c r="H280" t="inlineStr"/>
      <c r="I280" t="inlineStr">
        <is>
          <t>205</t>
        </is>
      </c>
      <c r="J280" t="inlineStr"/>
      <c r="K280" t="inlineStr"/>
      <c r="L280" s="1">
        <f>HYPERLINK("https://www.hi.u-tokyo.ac.jp/collection/degitalgallary/ryukyu/item/10279", "https://www.hi.u-tokyo.ac.jp/collection/degitalgallary/ryukyu/item/10279")</f>
        <v/>
      </c>
    </row>
    <row r="281">
      <c r="A281" t="inlineStr">
        <is>
          <t>10280</t>
        </is>
      </c>
      <c r="B281" t="inlineStr">
        <is>
          <t>此間壱里</t>
        </is>
      </c>
      <c r="C281" t="inlineStr">
        <is>
          <t>その他</t>
        </is>
      </c>
      <c r="D281" t="inlineStr"/>
      <c r="E281" t="inlineStr"/>
      <c r="F281" t="inlineStr">
        <is>
          <t>正保琉球国絵図写</t>
        </is>
      </c>
      <c r="G281" t="inlineStr"/>
      <c r="H281" t="inlineStr"/>
      <c r="I281" t="inlineStr">
        <is>
          <t>206</t>
        </is>
      </c>
      <c r="J281" t="inlineStr"/>
      <c r="K281" t="inlineStr"/>
      <c r="L281" s="1">
        <f>HYPERLINK("https://www.hi.u-tokyo.ac.jp/collection/degitalgallary/ryukyu/item/10280", "https://www.hi.u-tokyo.ac.jp/collection/degitalgallary/ryukyu/item/10280")</f>
        <v/>
      </c>
    </row>
    <row r="282">
      <c r="A282" t="inlineStr">
        <is>
          <t>10281</t>
        </is>
      </c>
      <c r="B282" t="inlineStr">
        <is>
          <t>こは嶋</t>
        </is>
      </c>
      <c r="C282" t="inlineStr">
        <is>
          <t>島</t>
        </is>
      </c>
      <c r="D282" t="inlineStr"/>
      <c r="E282" t="inlineStr"/>
      <c r="F282" t="inlineStr">
        <is>
          <t>正保琉球国絵図写</t>
        </is>
      </c>
      <c r="G282" t="inlineStr">
        <is>
          <t>人居なし</t>
        </is>
      </c>
      <c r="H282" t="inlineStr"/>
      <c r="I282" t="inlineStr">
        <is>
          <t>207</t>
        </is>
      </c>
      <c r="J282" t="inlineStr"/>
      <c r="K282" t="inlineStr"/>
      <c r="L282" s="1">
        <f>HYPERLINK("https://www.hi.u-tokyo.ac.jp/collection/degitalgallary/ryukyu/item/10281", "https://www.hi.u-tokyo.ac.jp/collection/degitalgallary/ryukyu/item/10281")</f>
        <v/>
      </c>
    </row>
    <row r="283">
      <c r="A283" t="inlineStr">
        <is>
          <t>10282</t>
        </is>
      </c>
      <c r="B283" t="inlineStr">
        <is>
          <t>おかみ山</t>
        </is>
      </c>
      <c r="C283" t="inlineStr">
        <is>
          <t>その他</t>
        </is>
      </c>
      <c r="D283" t="inlineStr"/>
      <c r="E283" t="inlineStr"/>
      <c r="F283" t="inlineStr">
        <is>
          <t>正保琉球国絵図写</t>
        </is>
      </c>
      <c r="G283" t="inlineStr"/>
      <c r="H283" t="inlineStr"/>
      <c r="I283" t="inlineStr">
        <is>
          <t>208</t>
        </is>
      </c>
      <c r="J283" t="inlineStr"/>
      <c r="K283" t="inlineStr"/>
      <c r="L283" s="1">
        <f>HYPERLINK("https://www.hi.u-tokyo.ac.jp/collection/degitalgallary/ryukyu/item/10282", "https://www.hi.u-tokyo.ac.jp/collection/degitalgallary/ryukyu/item/10282")</f>
        <v/>
      </c>
    </row>
    <row r="284">
      <c r="A284" t="inlineStr">
        <is>
          <t>10283</t>
        </is>
      </c>
      <c r="B284" t="inlineStr">
        <is>
          <t>どく瀬</t>
        </is>
      </c>
      <c r="C284" t="inlineStr">
        <is>
          <t>干瀬</t>
        </is>
      </c>
      <c r="D284" t="inlineStr"/>
      <c r="E284" t="inlineStr"/>
      <c r="F284" t="inlineStr">
        <is>
          <t>正保琉球国絵図写</t>
        </is>
      </c>
      <c r="G284" t="inlineStr"/>
      <c r="H284" t="inlineStr"/>
      <c r="I284" t="inlineStr">
        <is>
          <t>209</t>
        </is>
      </c>
      <c r="J284" t="inlineStr"/>
      <c r="K284" t="inlineStr"/>
      <c r="L284" s="1">
        <f>HYPERLINK("https://www.hi.u-tokyo.ac.jp/collection/degitalgallary/ryukyu/item/10283", "https://www.hi.u-tokyo.ac.jp/collection/degitalgallary/ryukyu/item/10283")</f>
        <v/>
      </c>
    </row>
    <row r="285">
      <c r="A285" t="inlineStr">
        <is>
          <t>10284</t>
        </is>
      </c>
      <c r="B285" t="inlineStr">
        <is>
          <t>すこもはなれ</t>
        </is>
      </c>
      <c r="C285" t="inlineStr">
        <is>
          <t>島</t>
        </is>
      </c>
      <c r="D285" t="inlineStr">
        <is>
          <t>28.1191215</t>
        </is>
      </c>
      <c r="E285" t="inlineStr">
        <is>
          <t>129.1670465</t>
        </is>
      </c>
      <c r="F285" t="inlineStr">
        <is>
          <t>正保琉球国絵図写</t>
        </is>
      </c>
      <c r="G285" t="inlineStr">
        <is>
          <t>人居なし</t>
        </is>
      </c>
      <c r="H285" t="inlineStr"/>
      <c r="I285" t="inlineStr">
        <is>
          <t>210</t>
        </is>
      </c>
      <c r="J285" t="inlineStr"/>
      <c r="K285" t="inlineStr">
        <is>
          <t>鹿児島県大島郡瀬戸内町須子茂</t>
        </is>
      </c>
      <c r="L285" s="1">
        <f>HYPERLINK("https://www.hi.u-tokyo.ac.jp/collection/degitalgallary/ryukyu/item/10284", "https://www.hi.u-tokyo.ac.jp/collection/degitalgallary/ryukyu/item/10284")</f>
        <v/>
      </c>
    </row>
    <row r="286">
      <c r="A286" t="inlineStr">
        <is>
          <t>10285</t>
        </is>
      </c>
      <c r="B286" t="inlineStr">
        <is>
          <t>こは尻</t>
        </is>
      </c>
      <c r="C286" t="inlineStr">
        <is>
          <t>その他</t>
        </is>
      </c>
      <c r="D286" t="inlineStr">
        <is>
          <t>28.120218</t>
        </is>
      </c>
      <c r="E286" t="inlineStr">
        <is>
          <t>129.159308</t>
        </is>
      </c>
      <c r="F286" t="inlineStr">
        <is>
          <t>正保琉球国絵図写</t>
        </is>
      </c>
      <c r="G286" t="inlineStr"/>
      <c r="H286" t="inlineStr"/>
      <c r="I286" t="inlineStr">
        <is>
          <t>211</t>
        </is>
      </c>
      <c r="J286" t="inlineStr"/>
      <c r="K286" t="inlineStr"/>
      <c r="L286" s="1">
        <f>HYPERLINK("https://www.hi.u-tokyo.ac.jp/collection/degitalgallary/ryukyu/item/10285", "https://www.hi.u-tokyo.ac.jp/collection/degitalgallary/ryukyu/item/10285")</f>
        <v/>
      </c>
    </row>
    <row r="287">
      <c r="A287" t="inlineStr">
        <is>
          <t>10286</t>
        </is>
      </c>
      <c r="B287" t="inlineStr">
        <is>
          <t>こきかゝりの崎</t>
        </is>
      </c>
      <c r="C287" t="inlineStr">
        <is>
          <t>崎</t>
        </is>
      </c>
      <c r="D287" t="inlineStr"/>
      <c r="E287" t="inlineStr"/>
      <c r="F287" t="inlineStr">
        <is>
          <t>正保琉球国絵図写</t>
        </is>
      </c>
      <c r="G287" t="inlineStr"/>
      <c r="H287" t="inlineStr"/>
      <c r="I287" t="inlineStr">
        <is>
          <t>212</t>
        </is>
      </c>
      <c r="J287" t="inlineStr"/>
      <c r="K287" t="inlineStr"/>
      <c r="L287" s="1">
        <f>HYPERLINK("https://www.hi.u-tokyo.ac.jp/collection/degitalgallary/ryukyu/item/10286", "https://www.hi.u-tokyo.ac.jp/collection/degitalgallary/ryukyu/item/10286")</f>
        <v/>
      </c>
    </row>
    <row r="288">
      <c r="A288" t="inlineStr">
        <is>
          <t>10287</t>
        </is>
      </c>
      <c r="B288" t="inlineStr">
        <is>
          <t>西之古見湊よりうけの嶋迄、海上七里</t>
        </is>
      </c>
      <c r="C288" t="inlineStr">
        <is>
          <t>航路</t>
        </is>
      </c>
      <c r="D288" t="inlineStr"/>
      <c r="E288" t="inlineStr"/>
      <c r="F288" t="inlineStr">
        <is>
          <t>正保琉球国絵図写</t>
        </is>
      </c>
      <c r="G288" t="inlineStr"/>
      <c r="H288" t="inlineStr"/>
      <c r="I288" t="inlineStr">
        <is>
          <t>213</t>
        </is>
      </c>
      <c r="J288" t="inlineStr"/>
      <c r="K288" t="inlineStr"/>
      <c r="L288" s="1">
        <f>HYPERLINK("https://www.hi.u-tokyo.ac.jp/collection/degitalgallary/ryukyu/item/10287", "https://www.hi.u-tokyo.ac.jp/collection/degitalgallary/ryukyu/item/10287")</f>
        <v/>
      </c>
    </row>
    <row r="289">
      <c r="A289" t="inlineStr">
        <is>
          <t>10288</t>
        </is>
      </c>
      <c r="B289" t="inlineStr">
        <is>
          <t>西之古見湊よりよろの嶋迄、海上六里</t>
        </is>
      </c>
      <c r="C289" t="inlineStr">
        <is>
          <t>航路</t>
        </is>
      </c>
      <c r="D289" t="inlineStr"/>
      <c r="E289" t="inlineStr"/>
      <c r="F289" t="inlineStr">
        <is>
          <t>正保琉球国絵図写</t>
        </is>
      </c>
      <c r="G289" t="inlineStr"/>
      <c r="H289" t="inlineStr"/>
      <c r="I289" t="inlineStr">
        <is>
          <t>214</t>
        </is>
      </c>
      <c r="J289" t="inlineStr"/>
      <c r="K289" t="inlineStr"/>
      <c r="L289" s="1">
        <f>HYPERLINK("https://www.hi.u-tokyo.ac.jp/collection/degitalgallary/ryukyu/item/10288", "https://www.hi.u-tokyo.ac.jp/collection/degitalgallary/ryukyu/item/10288")</f>
        <v/>
      </c>
    </row>
    <row r="290">
      <c r="A290" t="inlineStr">
        <is>
          <t>10289</t>
        </is>
      </c>
      <c r="B290" t="inlineStr">
        <is>
          <t>大嶋之内</t>
        </is>
      </c>
      <c r="C290" t="inlineStr">
        <is>
          <t>島</t>
        </is>
      </c>
      <c r="D290" t="inlineStr">
        <is>
          <t>28.0246255</t>
        </is>
      </c>
      <c r="E290" t="inlineStr">
        <is>
          <t>129.2531353</t>
        </is>
      </c>
      <c r="F290" t="inlineStr">
        <is>
          <t>正保琉球国絵図写</t>
        </is>
      </c>
      <c r="G290" t="inlineStr">
        <is>
          <t>うけの嶋、嶋廻四里九町</t>
        </is>
      </c>
      <c r="H290" t="inlineStr"/>
      <c r="I290" t="inlineStr">
        <is>
          <t>215</t>
        </is>
      </c>
      <c r="J290" t="inlineStr"/>
      <c r="K290" t="inlineStr">
        <is>
          <t>鹿児島県大島郡瀬戸内町請阿室</t>
        </is>
      </c>
      <c r="L290" s="1">
        <f>HYPERLINK("https://www.hi.u-tokyo.ac.jp/collection/degitalgallary/ryukyu/item/10289", "https://www.hi.u-tokyo.ac.jp/collection/degitalgallary/ryukyu/item/10289")</f>
        <v/>
      </c>
    </row>
    <row r="291">
      <c r="A291" t="inlineStr">
        <is>
          <t>10290</t>
        </is>
      </c>
      <c r="B291" t="inlineStr">
        <is>
          <t>池</t>
        </is>
      </c>
      <c r="C291" t="inlineStr">
        <is>
          <t>その他</t>
        </is>
      </c>
      <c r="D291" t="inlineStr"/>
      <c r="E291" t="inlineStr"/>
      <c r="F291" t="inlineStr">
        <is>
          <t>正保琉球国絵図写</t>
        </is>
      </c>
      <c r="G291" t="inlineStr"/>
      <c r="H291" t="inlineStr"/>
      <c r="I291" t="inlineStr">
        <is>
          <t>216</t>
        </is>
      </c>
      <c r="J291" t="inlineStr"/>
      <c r="K291" t="inlineStr"/>
      <c r="L291" s="1">
        <f>HYPERLINK("https://www.hi.u-tokyo.ac.jp/collection/degitalgallary/ryukyu/item/10290", "https://www.hi.u-tokyo.ac.jp/collection/degitalgallary/ryukyu/item/10290")</f>
        <v/>
      </c>
    </row>
    <row r="292">
      <c r="A292" t="inlineStr">
        <is>
          <t>10291</t>
        </is>
      </c>
      <c r="B292" t="inlineStr">
        <is>
          <t>くしら瀬</t>
        </is>
      </c>
      <c r="C292" t="inlineStr">
        <is>
          <t>干瀬</t>
        </is>
      </c>
      <c r="D292" t="inlineStr">
        <is>
          <t>28.0533351</t>
        </is>
      </c>
      <c r="E292" t="inlineStr">
        <is>
          <t>129.2150045</t>
        </is>
      </c>
      <c r="F292" t="inlineStr">
        <is>
          <t>正保琉球国絵図写</t>
        </is>
      </c>
      <c r="G292" t="inlineStr"/>
      <c r="H292" t="inlineStr"/>
      <c r="I292" t="inlineStr">
        <is>
          <t>217</t>
        </is>
      </c>
      <c r="J292" t="inlineStr"/>
      <c r="K292" t="inlineStr">
        <is>
          <t>鹿児島県大島郡瀬戸内町池地</t>
        </is>
      </c>
      <c r="L292" s="1">
        <f>HYPERLINK("https://www.hi.u-tokyo.ac.jp/collection/degitalgallary/ryukyu/item/10291", "https://www.hi.u-tokyo.ac.jp/collection/degitalgallary/ryukyu/item/10291")</f>
        <v/>
      </c>
    </row>
    <row r="293">
      <c r="A293" t="inlineStr">
        <is>
          <t>10292</t>
        </is>
      </c>
      <c r="B293" t="inlineStr">
        <is>
          <t>遠干潟</t>
        </is>
      </c>
      <c r="C293" t="inlineStr">
        <is>
          <t>干瀬</t>
        </is>
      </c>
      <c r="D293" t="inlineStr">
        <is>
          <t>28.0355165</t>
        </is>
      </c>
      <c r="E293" t="inlineStr">
        <is>
          <t>129.2331926</t>
        </is>
      </c>
      <c r="F293" t="inlineStr">
        <is>
          <t>正保琉球国絵図写</t>
        </is>
      </c>
      <c r="G293" t="inlineStr"/>
      <c r="H293" t="inlineStr"/>
      <c r="I293" t="inlineStr">
        <is>
          <t>218</t>
        </is>
      </c>
      <c r="J293" t="inlineStr"/>
      <c r="K293" t="inlineStr">
        <is>
          <t>鹿児島県大島郡瀬戸内町池地</t>
        </is>
      </c>
      <c r="L293" s="1">
        <f>HYPERLINK("https://www.hi.u-tokyo.ac.jp/collection/degitalgallary/ryukyu/item/10292", "https://www.hi.u-tokyo.ac.jp/collection/degitalgallary/ryukyu/item/10292")</f>
        <v/>
      </c>
    </row>
    <row r="294">
      <c r="A294" t="inlineStr">
        <is>
          <t>10293</t>
        </is>
      </c>
      <c r="B294" t="inlineStr">
        <is>
          <t>たんせ</t>
        </is>
      </c>
      <c r="C294" t="inlineStr">
        <is>
          <t>干瀬</t>
        </is>
      </c>
      <c r="D294" t="inlineStr">
        <is>
          <t>28.0507362</t>
        </is>
      </c>
      <c r="E294" t="inlineStr">
        <is>
          <t>129.2513483</t>
        </is>
      </c>
      <c r="F294" t="inlineStr">
        <is>
          <t>正保琉球国絵図写</t>
        </is>
      </c>
      <c r="G294" t="inlineStr"/>
      <c r="H294" t="inlineStr"/>
      <c r="I294" t="inlineStr">
        <is>
          <t>219</t>
        </is>
      </c>
      <c r="J294" t="inlineStr"/>
      <c r="K294" t="inlineStr">
        <is>
          <t>鹿児島県大島郡瀬戸内町池地</t>
        </is>
      </c>
      <c r="L294" s="1">
        <f>HYPERLINK("https://www.hi.u-tokyo.ac.jp/collection/degitalgallary/ryukyu/item/10293", "https://www.hi.u-tokyo.ac.jp/collection/degitalgallary/ryukyu/item/10293")</f>
        <v/>
      </c>
    </row>
    <row r="295">
      <c r="A295" t="inlineStr">
        <is>
          <t>10294</t>
        </is>
      </c>
      <c r="B295" t="inlineStr">
        <is>
          <t>池</t>
        </is>
      </c>
      <c r="C295" t="inlineStr">
        <is>
          <t>その他</t>
        </is>
      </c>
      <c r="D295" t="inlineStr"/>
      <c r="E295" t="inlineStr"/>
      <c r="F295" t="inlineStr">
        <is>
          <t>正保琉球国絵図写</t>
        </is>
      </c>
      <c r="G295" t="inlineStr"/>
      <c r="H295" t="inlineStr"/>
      <c r="I295" t="inlineStr">
        <is>
          <t>220</t>
        </is>
      </c>
      <c r="J295" t="inlineStr"/>
      <c r="K295" t="inlineStr"/>
      <c r="L295" s="1">
        <f>HYPERLINK("https://www.hi.u-tokyo.ac.jp/collection/degitalgallary/ryukyu/item/10294", "https://www.hi.u-tokyo.ac.jp/collection/degitalgallary/ryukyu/item/10294")</f>
        <v/>
      </c>
    </row>
    <row r="296">
      <c r="A296" t="inlineStr">
        <is>
          <t>10295</t>
        </is>
      </c>
      <c r="B296" t="inlineStr">
        <is>
          <t>くしらまの崎</t>
        </is>
      </c>
      <c r="C296" t="inlineStr">
        <is>
          <t>崎</t>
        </is>
      </c>
      <c r="D296" t="inlineStr">
        <is>
          <t>28.0362135</t>
        </is>
      </c>
      <c r="E296" t="inlineStr">
        <is>
          <t>129.2647782</t>
        </is>
      </c>
      <c r="F296" t="inlineStr">
        <is>
          <t>正保琉球国絵図写</t>
        </is>
      </c>
      <c r="G296" t="inlineStr"/>
      <c r="H296" t="inlineStr"/>
      <c r="I296" t="inlineStr">
        <is>
          <t>221</t>
        </is>
      </c>
      <c r="J296" t="inlineStr"/>
      <c r="K296" t="inlineStr">
        <is>
          <t>鹿児島県大島郡瀬戸内町請阿室</t>
        </is>
      </c>
      <c r="L296" s="1">
        <f>HYPERLINK("https://www.hi.u-tokyo.ac.jp/collection/degitalgallary/ryukyu/item/10295", "https://www.hi.u-tokyo.ac.jp/collection/degitalgallary/ryukyu/item/10295")</f>
        <v/>
      </c>
    </row>
    <row r="297">
      <c r="A297" t="inlineStr">
        <is>
          <t>10296</t>
        </is>
      </c>
      <c r="B297" t="inlineStr">
        <is>
          <t>此間五町</t>
        </is>
      </c>
      <c r="C297" t="inlineStr">
        <is>
          <t>その他</t>
        </is>
      </c>
      <c r="D297" t="inlineStr"/>
      <c r="E297" t="inlineStr"/>
      <c r="F297" t="inlineStr">
        <is>
          <t>正保琉球国絵図写</t>
        </is>
      </c>
      <c r="G297" t="inlineStr"/>
      <c r="H297" t="inlineStr"/>
      <c r="I297" t="inlineStr">
        <is>
          <t>222</t>
        </is>
      </c>
      <c r="J297" t="inlineStr"/>
      <c r="K297" t="inlineStr"/>
      <c r="L297" s="1">
        <f>HYPERLINK("https://www.hi.u-tokyo.ac.jp/collection/degitalgallary/ryukyu/item/10296", "https://www.hi.u-tokyo.ac.jp/collection/degitalgallary/ryukyu/item/10296")</f>
        <v/>
      </c>
    </row>
    <row r="298">
      <c r="A298" t="inlineStr">
        <is>
          <t>10297</t>
        </is>
      </c>
      <c r="B298" t="inlineStr">
        <is>
          <t>かいま</t>
        </is>
      </c>
      <c r="C298" t="inlineStr">
        <is>
          <t>島</t>
        </is>
      </c>
      <c r="D298" t="inlineStr">
        <is>
          <t>28.0225133</t>
        </is>
      </c>
      <c r="E298" t="inlineStr">
        <is>
          <t>129.275016</t>
        </is>
      </c>
      <c r="F298" t="inlineStr">
        <is>
          <t>正保琉球国絵図写</t>
        </is>
      </c>
      <c r="G298" t="inlineStr">
        <is>
          <t>人居なし</t>
        </is>
      </c>
      <c r="H298" t="inlineStr"/>
      <c r="I298" t="inlineStr">
        <is>
          <t>223</t>
        </is>
      </c>
      <c r="J298" t="inlineStr"/>
      <c r="K298" t="inlineStr">
        <is>
          <t>鹿児島県大島郡瀬戸内町請阿室</t>
        </is>
      </c>
      <c r="L298" s="1">
        <f>HYPERLINK("https://www.hi.u-tokyo.ac.jp/collection/degitalgallary/ryukyu/item/10297", "https://www.hi.u-tokyo.ac.jp/collection/degitalgallary/ryukyu/item/10297")</f>
        <v/>
      </c>
    </row>
    <row r="299">
      <c r="A299" t="inlineStr">
        <is>
          <t>10298</t>
        </is>
      </c>
      <c r="B299" t="inlineStr">
        <is>
          <t>鳥瀬</t>
        </is>
      </c>
      <c r="C299" t="inlineStr">
        <is>
          <t>干瀬</t>
        </is>
      </c>
      <c r="D299" t="inlineStr">
        <is>
          <t>28.0082893</t>
        </is>
      </c>
      <c r="E299" t="inlineStr">
        <is>
          <t>129.2684225</t>
        </is>
      </c>
      <c r="F299" t="inlineStr">
        <is>
          <t>正保琉球国絵図写</t>
        </is>
      </c>
      <c r="G299" t="inlineStr"/>
      <c r="H299" t="inlineStr"/>
      <c r="I299" t="inlineStr">
        <is>
          <t>224</t>
        </is>
      </c>
      <c r="J299" t="inlineStr"/>
      <c r="K299" t="inlineStr">
        <is>
          <t>鹿児島県大島郡瀬戸内町請阿室</t>
        </is>
      </c>
      <c r="L299" s="1">
        <f>HYPERLINK("https://www.hi.u-tokyo.ac.jp/collection/degitalgallary/ryukyu/item/10298", "https://www.hi.u-tokyo.ac.jp/collection/degitalgallary/ryukyu/item/10298")</f>
        <v/>
      </c>
    </row>
    <row r="300">
      <c r="A300" t="inlineStr">
        <is>
          <t>10299</t>
        </is>
      </c>
      <c r="B300" t="inlineStr">
        <is>
          <t>ちやなれのくわ</t>
        </is>
      </c>
      <c r="C300" t="inlineStr">
        <is>
          <t>その他</t>
        </is>
      </c>
      <c r="D300" t="inlineStr">
        <is>
          <t>28.003203</t>
        </is>
      </c>
      <c r="E300" t="inlineStr">
        <is>
          <t>129.255130</t>
        </is>
      </c>
      <c r="F300" t="inlineStr">
        <is>
          <t>正保琉球国絵図写</t>
        </is>
      </c>
      <c r="G300" t="inlineStr"/>
      <c r="H300" t="inlineStr"/>
      <c r="I300" t="inlineStr">
        <is>
          <t>225</t>
        </is>
      </c>
      <c r="J300" t="inlineStr"/>
      <c r="K300" t="inlineStr">
        <is>
          <t>鹿児島県大島郡瀬戸内町請阿室</t>
        </is>
      </c>
      <c r="L300" s="1">
        <f>HYPERLINK("https://www.hi.u-tokyo.ac.jp/collection/degitalgallary/ryukyu/item/10299", "https://www.hi.u-tokyo.ac.jp/collection/degitalgallary/ryukyu/item/10299")</f>
        <v/>
      </c>
    </row>
    <row r="301">
      <c r="A301" t="inlineStr">
        <is>
          <t>10300</t>
        </is>
      </c>
      <c r="B301" t="inlineStr">
        <is>
          <t>くらせのはな</t>
        </is>
      </c>
      <c r="C301" t="inlineStr">
        <is>
          <t>その他</t>
        </is>
      </c>
      <c r="D301" t="inlineStr">
        <is>
          <t>28.0056969</t>
        </is>
      </c>
      <c r="E301" t="inlineStr">
        <is>
          <t>129.2545089</t>
        </is>
      </c>
      <c r="F301" t="inlineStr">
        <is>
          <t>正保琉球国絵図写</t>
        </is>
      </c>
      <c r="G301" t="inlineStr"/>
      <c r="H301" t="inlineStr"/>
      <c r="I301" t="inlineStr">
        <is>
          <t>226</t>
        </is>
      </c>
      <c r="J301" t="inlineStr"/>
      <c r="K301" t="inlineStr"/>
      <c r="L301" s="1">
        <f>HYPERLINK("https://www.hi.u-tokyo.ac.jp/collection/degitalgallary/ryukyu/item/10300", "https://www.hi.u-tokyo.ac.jp/collection/degitalgallary/ryukyu/item/10300")</f>
        <v/>
      </c>
    </row>
    <row r="302">
      <c r="A302" t="inlineStr">
        <is>
          <t>10301</t>
        </is>
      </c>
      <c r="B302" t="inlineStr">
        <is>
          <t>たにま</t>
        </is>
      </c>
      <c r="C302" t="inlineStr">
        <is>
          <t>その他</t>
        </is>
      </c>
      <c r="D302" t="inlineStr">
        <is>
          <t>28.0142585</t>
        </is>
      </c>
      <c r="E302" t="inlineStr">
        <is>
          <t>129.2371877</t>
        </is>
      </c>
      <c r="F302" t="inlineStr">
        <is>
          <t>正保琉球国絵図写</t>
        </is>
      </c>
      <c r="G302" t="inlineStr"/>
      <c r="H302" t="inlineStr"/>
      <c r="I302" t="inlineStr">
        <is>
          <t>227</t>
        </is>
      </c>
      <c r="J302" t="inlineStr"/>
      <c r="K302" t="inlineStr">
        <is>
          <t>鹿児島県大島郡瀬戸内町請阿室</t>
        </is>
      </c>
      <c r="L302" s="1">
        <f>HYPERLINK("https://www.hi.u-tokyo.ac.jp/collection/degitalgallary/ryukyu/item/10301", "https://www.hi.u-tokyo.ac.jp/collection/degitalgallary/ryukyu/item/10301")</f>
        <v/>
      </c>
    </row>
    <row r="303">
      <c r="A303" t="inlineStr">
        <is>
          <t>10302</t>
        </is>
      </c>
      <c r="B303" t="inlineStr">
        <is>
          <t>やんま崎</t>
        </is>
      </c>
      <c r="C303" t="inlineStr">
        <is>
          <t>崎</t>
        </is>
      </c>
      <c r="D303" t="inlineStr">
        <is>
          <t>28.0234942</t>
        </is>
      </c>
      <c r="E303" t="inlineStr">
        <is>
          <t>129.2139252</t>
        </is>
      </c>
      <c r="F303" t="inlineStr">
        <is>
          <t>正保琉球国絵図写</t>
        </is>
      </c>
      <c r="G303" t="inlineStr"/>
      <c r="H303" t="inlineStr"/>
      <c r="I303" t="inlineStr">
        <is>
          <t>228</t>
        </is>
      </c>
      <c r="J303" t="inlineStr"/>
      <c r="K303" t="inlineStr">
        <is>
          <t>鹿児島県大島郡瀬戸内町池地</t>
        </is>
      </c>
      <c r="L303" s="1">
        <f>HYPERLINK("https://www.hi.u-tokyo.ac.jp/collection/degitalgallary/ryukyu/item/10302", "https://www.hi.u-tokyo.ac.jp/collection/degitalgallary/ryukyu/item/10302")</f>
        <v/>
      </c>
    </row>
    <row r="304">
      <c r="A304" t="inlineStr">
        <is>
          <t>10303</t>
        </is>
      </c>
      <c r="B304" t="inlineStr">
        <is>
          <t>かたき崎</t>
        </is>
      </c>
      <c r="C304" t="inlineStr">
        <is>
          <t>崎</t>
        </is>
      </c>
      <c r="D304" t="inlineStr"/>
      <c r="E304" t="inlineStr"/>
      <c r="F304" t="inlineStr">
        <is>
          <t>正保琉球国絵図写</t>
        </is>
      </c>
      <c r="G304" t="inlineStr"/>
      <c r="H304" t="inlineStr"/>
      <c r="I304" t="inlineStr">
        <is>
          <t>229</t>
        </is>
      </c>
      <c r="J304" t="inlineStr"/>
      <c r="K304" t="inlineStr"/>
      <c r="L304" s="1">
        <f>HYPERLINK("https://www.hi.u-tokyo.ac.jp/collection/degitalgallary/ryukyu/item/10303", "https://www.hi.u-tokyo.ac.jp/collection/degitalgallary/ryukyu/item/10303")</f>
        <v/>
      </c>
    </row>
    <row r="305">
      <c r="A305" t="inlineStr">
        <is>
          <t>10304</t>
        </is>
      </c>
      <c r="B305" t="inlineStr">
        <is>
          <t>此間廿町</t>
        </is>
      </c>
      <c r="C305" t="inlineStr">
        <is>
          <t>その他</t>
        </is>
      </c>
      <c r="D305" t="inlineStr"/>
      <c r="E305" t="inlineStr"/>
      <c r="F305" t="inlineStr">
        <is>
          <t>正保琉球国絵図写</t>
        </is>
      </c>
      <c r="G305" t="inlineStr"/>
      <c r="H305" t="inlineStr"/>
      <c r="I305" t="inlineStr">
        <is>
          <t>230</t>
        </is>
      </c>
      <c r="J305" t="inlineStr"/>
      <c r="K305" t="inlineStr"/>
      <c r="L305" s="1">
        <f>HYPERLINK("https://www.hi.u-tokyo.ac.jp/collection/degitalgallary/ryukyu/item/10304", "https://www.hi.u-tokyo.ac.jp/collection/degitalgallary/ryukyu/item/10304")</f>
        <v/>
      </c>
    </row>
    <row r="306">
      <c r="A306" t="inlineStr">
        <is>
          <t>10305</t>
        </is>
      </c>
      <c r="B306" t="inlineStr">
        <is>
          <t>大嶋之内
よろノ嶋、嶋廻三里廿町</t>
        </is>
      </c>
      <c r="C306" t="inlineStr">
        <is>
          <t>島</t>
        </is>
      </c>
      <c r="D306" t="inlineStr">
        <is>
          <t>28.0365881</t>
        </is>
      </c>
      <c r="E306" t="inlineStr">
        <is>
          <t>129.1595703</t>
        </is>
      </c>
      <c r="F306" t="inlineStr">
        <is>
          <t>正保琉球国絵図写</t>
        </is>
      </c>
      <c r="G306" t="inlineStr"/>
      <c r="H306" t="inlineStr"/>
      <c r="I306" t="inlineStr">
        <is>
          <t>231</t>
        </is>
      </c>
      <c r="J306" t="inlineStr"/>
      <c r="K306" t="inlineStr">
        <is>
          <t>鹿児島県大島郡瀬戸内町与路</t>
        </is>
      </c>
      <c r="L306" s="1">
        <f>HYPERLINK("https://www.hi.u-tokyo.ac.jp/collection/degitalgallary/ryukyu/item/10305", "https://www.hi.u-tokyo.ac.jp/collection/degitalgallary/ryukyu/item/10305")</f>
        <v/>
      </c>
    </row>
    <row r="307">
      <c r="A307" t="inlineStr">
        <is>
          <t>10306</t>
        </is>
      </c>
      <c r="B307" t="inlineStr">
        <is>
          <t>このみね</t>
        </is>
      </c>
      <c r="C307" t="inlineStr">
        <is>
          <t>その他</t>
        </is>
      </c>
      <c r="D307" t="inlineStr">
        <is>
          <t>28.0298375</t>
        </is>
      </c>
      <c r="E307" t="inlineStr">
        <is>
          <t>129.1590682</t>
        </is>
      </c>
      <c r="F307" t="inlineStr">
        <is>
          <t>正保琉球国絵図写</t>
        </is>
      </c>
      <c r="G307" t="inlineStr"/>
      <c r="H307" t="inlineStr"/>
      <c r="I307" t="inlineStr">
        <is>
          <t>232</t>
        </is>
      </c>
      <c r="J307" t="inlineStr"/>
      <c r="K307" t="inlineStr">
        <is>
          <t>鹿児島県大島郡瀬戸内町与路</t>
        </is>
      </c>
      <c r="L307" s="1">
        <f>HYPERLINK("https://www.hi.u-tokyo.ac.jp/collection/degitalgallary/ryukyu/item/10306", "https://www.hi.u-tokyo.ac.jp/collection/degitalgallary/ryukyu/item/10306")</f>
        <v/>
      </c>
    </row>
    <row r="308">
      <c r="A308" t="inlineStr">
        <is>
          <t>10307</t>
        </is>
      </c>
      <c r="B308" t="inlineStr">
        <is>
          <t>大瀬</t>
        </is>
      </c>
      <c r="C308" t="inlineStr">
        <is>
          <t>干瀬</t>
        </is>
      </c>
      <c r="D308" t="inlineStr">
        <is>
          <t>28.0683294</t>
        </is>
      </c>
      <c r="E308" t="inlineStr">
        <is>
          <t>129.171493</t>
        </is>
      </c>
      <c r="F308" t="inlineStr">
        <is>
          <t>正保琉球国絵図写</t>
        </is>
      </c>
      <c r="G308" t="inlineStr"/>
      <c r="H308" t="inlineStr"/>
      <c r="I308" t="inlineStr">
        <is>
          <t>233</t>
        </is>
      </c>
      <c r="J308" t="inlineStr"/>
      <c r="K308" t="inlineStr">
        <is>
          <t>鹿児島県大島郡瀬戸内町与路</t>
        </is>
      </c>
      <c r="L308" s="1">
        <f>HYPERLINK("https://www.hi.u-tokyo.ac.jp/collection/degitalgallary/ryukyu/item/10307", "https://www.hi.u-tokyo.ac.jp/collection/degitalgallary/ryukyu/item/10307")</f>
        <v/>
      </c>
    </row>
    <row r="309">
      <c r="A309" t="inlineStr">
        <is>
          <t>10308</t>
        </is>
      </c>
      <c r="B309" t="inlineStr">
        <is>
          <t xml:space="preserve">立瀬　</t>
        </is>
      </c>
      <c r="C309" t="inlineStr">
        <is>
          <t>干瀬</t>
        </is>
      </c>
      <c r="D309" t="inlineStr">
        <is>
          <t>28.0584373</t>
        </is>
      </c>
      <c r="E309" t="inlineStr">
        <is>
          <t>129.1759185</t>
        </is>
      </c>
      <c r="F309" t="inlineStr">
        <is>
          <t>正保琉球国絵図写</t>
        </is>
      </c>
      <c r="G309" t="inlineStr"/>
      <c r="H309" t="inlineStr"/>
      <c r="I309" t="inlineStr">
        <is>
          <t>234</t>
        </is>
      </c>
      <c r="J309" t="inlineStr"/>
      <c r="K309" t="inlineStr"/>
      <c r="L309" s="1">
        <f>HYPERLINK("https://www.hi.u-tokyo.ac.jp/collection/degitalgallary/ryukyu/item/10308", "https://www.hi.u-tokyo.ac.jp/collection/degitalgallary/ryukyu/item/10308")</f>
        <v/>
      </c>
    </row>
    <row r="310">
      <c r="A310" t="inlineStr">
        <is>
          <t>10309</t>
        </is>
      </c>
      <c r="B310" t="inlineStr">
        <is>
          <t>しよひやの崎</t>
        </is>
      </c>
      <c r="C310" t="inlineStr">
        <is>
          <t>崎</t>
        </is>
      </c>
      <c r="D310" t="inlineStr">
        <is>
          <t>28.0491515</t>
        </is>
      </c>
      <c r="E310" t="inlineStr">
        <is>
          <t>129.1775864</t>
        </is>
      </c>
      <c r="F310" t="inlineStr">
        <is>
          <t>正保琉球国絵図写</t>
        </is>
      </c>
      <c r="G310" t="inlineStr"/>
      <c r="H310" t="inlineStr"/>
      <c r="I310" t="inlineStr">
        <is>
          <t>235</t>
        </is>
      </c>
      <c r="J310" t="inlineStr"/>
      <c r="K310" t="inlineStr">
        <is>
          <t>鹿児島県大島郡瀬戸内町与路</t>
        </is>
      </c>
      <c r="L310" s="1">
        <f>HYPERLINK("https://www.hi.u-tokyo.ac.jp/collection/degitalgallary/ryukyu/item/10309", "https://www.hi.u-tokyo.ac.jp/collection/degitalgallary/ryukyu/item/10309")</f>
        <v/>
      </c>
    </row>
    <row r="311">
      <c r="A311" t="inlineStr">
        <is>
          <t>10310</t>
        </is>
      </c>
      <c r="B311" t="inlineStr">
        <is>
          <t>うす瀬</t>
        </is>
      </c>
      <c r="C311" t="inlineStr">
        <is>
          <t>干瀬</t>
        </is>
      </c>
      <c r="D311" t="inlineStr">
        <is>
          <t>28.0158133</t>
        </is>
      </c>
      <c r="E311" t="inlineStr">
        <is>
          <t>129.1594657</t>
        </is>
      </c>
      <c r="F311" t="inlineStr">
        <is>
          <t>正保琉球国絵図写</t>
        </is>
      </c>
      <c r="G311" t="inlineStr"/>
      <c r="H311" t="inlineStr"/>
      <c r="I311" t="inlineStr">
        <is>
          <t>236</t>
        </is>
      </c>
      <c r="J311" t="inlineStr"/>
      <c r="K311" t="inlineStr">
        <is>
          <t>鹿児島県大島郡瀬戸内町与路</t>
        </is>
      </c>
      <c r="L311" s="1">
        <f>HYPERLINK("https://www.hi.u-tokyo.ac.jp/collection/degitalgallary/ryukyu/item/10310", "https://www.hi.u-tokyo.ac.jp/collection/degitalgallary/ryukyu/item/10310")</f>
        <v/>
      </c>
    </row>
    <row r="312">
      <c r="A312" t="inlineStr">
        <is>
          <t>10311</t>
        </is>
      </c>
      <c r="B312" t="inlineStr">
        <is>
          <t>立神</t>
        </is>
      </c>
      <c r="C312" t="inlineStr">
        <is>
          <t>その他</t>
        </is>
      </c>
      <c r="D312" t="inlineStr">
        <is>
          <t>28.012937</t>
        </is>
      </c>
      <c r="E312" t="inlineStr">
        <is>
          <t>129.1466962</t>
        </is>
      </c>
      <c r="F312" t="inlineStr">
        <is>
          <t>正保琉球国絵図写</t>
        </is>
      </c>
      <c r="G312" t="inlineStr"/>
      <c r="H312" t="inlineStr"/>
      <c r="I312" t="inlineStr">
        <is>
          <t>237</t>
        </is>
      </c>
      <c r="J312" t="inlineStr"/>
      <c r="K312" t="inlineStr">
        <is>
          <t>鹿児島県大島郡瀬戸内町与路</t>
        </is>
      </c>
      <c r="L312" s="1">
        <f>HYPERLINK("https://www.hi.u-tokyo.ac.jp/collection/degitalgallary/ryukyu/item/10311", "https://www.hi.u-tokyo.ac.jp/collection/degitalgallary/ryukyu/item/10311")</f>
        <v/>
      </c>
    </row>
    <row r="313">
      <c r="A313" t="inlineStr">
        <is>
          <t>10312</t>
        </is>
      </c>
      <c r="B313" t="inlineStr">
        <is>
          <t>小平瀬</t>
        </is>
      </c>
      <c r="C313" t="inlineStr">
        <is>
          <t>干瀬</t>
        </is>
      </c>
      <c r="D313" t="inlineStr">
        <is>
          <t>28.0102079</t>
        </is>
      </c>
      <c r="E313" t="inlineStr">
        <is>
          <t>129.1440595</t>
        </is>
      </c>
      <c r="F313" t="inlineStr">
        <is>
          <t>正保琉球国絵図写</t>
        </is>
      </c>
      <c r="G313" t="inlineStr"/>
      <c r="H313" t="inlineStr"/>
      <c r="I313" t="inlineStr">
        <is>
          <t>238</t>
        </is>
      </c>
      <c r="J313" t="inlineStr"/>
      <c r="K313" t="inlineStr"/>
      <c r="L313" s="1">
        <f>HYPERLINK("https://www.hi.u-tokyo.ac.jp/collection/degitalgallary/ryukyu/item/10312", "https://www.hi.u-tokyo.ac.jp/collection/degitalgallary/ryukyu/item/10312")</f>
        <v/>
      </c>
    </row>
    <row r="314">
      <c r="A314" t="inlineStr">
        <is>
          <t>10313</t>
        </is>
      </c>
      <c r="B314" t="inlineStr">
        <is>
          <t>一ツ瀬</t>
        </is>
      </c>
      <c r="C314" t="inlineStr">
        <is>
          <t>干瀬</t>
        </is>
      </c>
      <c r="D314" t="inlineStr">
        <is>
          <t>28.0267796</t>
        </is>
      </c>
      <c r="E314" t="inlineStr">
        <is>
          <t>129.1433624</t>
        </is>
      </c>
      <c r="F314" t="inlineStr">
        <is>
          <t>正保琉球国絵図写</t>
        </is>
      </c>
      <c r="G314" t="inlineStr"/>
      <c r="H314" t="inlineStr"/>
      <c r="I314" t="inlineStr">
        <is>
          <t>239</t>
        </is>
      </c>
      <c r="J314" t="inlineStr"/>
      <c r="K314" t="inlineStr"/>
      <c r="L314" s="1">
        <f>HYPERLINK("https://www.hi.u-tokyo.ac.jp/collection/degitalgallary/ryukyu/item/10313", "https://www.hi.u-tokyo.ac.jp/collection/degitalgallary/ryukyu/item/10313")</f>
        <v/>
      </c>
    </row>
    <row r="315">
      <c r="A315" t="inlineStr">
        <is>
          <t>10314</t>
        </is>
      </c>
      <c r="B315" t="inlineStr">
        <is>
          <t>ぬり瀬</t>
        </is>
      </c>
      <c r="C315" t="inlineStr">
        <is>
          <t>干瀬</t>
        </is>
      </c>
      <c r="D315" t="inlineStr">
        <is>
          <t>28.042233</t>
        </is>
      </c>
      <c r="E315" t="inlineStr">
        <is>
          <t>129.1494035</t>
        </is>
      </c>
      <c r="F315" t="inlineStr">
        <is>
          <t>正保琉球国絵図写</t>
        </is>
      </c>
      <c r="G315" t="inlineStr"/>
      <c r="H315" t="inlineStr"/>
      <c r="I315" t="inlineStr">
        <is>
          <t>240</t>
        </is>
      </c>
      <c r="J315" t="inlineStr"/>
      <c r="K315" t="inlineStr">
        <is>
          <t>鹿児島県大島郡瀬戸内町与路</t>
        </is>
      </c>
      <c r="L315" s="1">
        <f>HYPERLINK("https://www.hi.u-tokyo.ac.jp/collection/degitalgallary/ryukyu/item/10314", "https://www.hi.u-tokyo.ac.jp/collection/degitalgallary/ryukyu/item/10314")</f>
        <v/>
      </c>
    </row>
    <row r="316">
      <c r="A316" t="inlineStr">
        <is>
          <t>10315</t>
        </is>
      </c>
      <c r="B316" t="inlineStr">
        <is>
          <t>かかみ崎</t>
        </is>
      </c>
      <c r="C316" t="inlineStr">
        <is>
          <t>崎</t>
        </is>
      </c>
      <c r="D316" t="inlineStr">
        <is>
          <t>28.0490278</t>
        </is>
      </c>
      <c r="E316" t="inlineStr">
        <is>
          <t>129.1494001</t>
        </is>
      </c>
      <c r="F316" t="inlineStr">
        <is>
          <t>正保琉球国絵図写</t>
        </is>
      </c>
      <c r="G316" t="inlineStr"/>
      <c r="H316" t="inlineStr"/>
      <c r="I316" t="inlineStr">
        <is>
          <t>241</t>
        </is>
      </c>
      <c r="J316" t="inlineStr"/>
      <c r="K316" t="inlineStr">
        <is>
          <t>鹿児島県大島郡瀬戸内町与路</t>
        </is>
      </c>
      <c r="L316" s="1">
        <f>HYPERLINK("https://www.hi.u-tokyo.ac.jp/collection/degitalgallary/ryukyu/item/10315", "https://www.hi.u-tokyo.ac.jp/collection/degitalgallary/ryukyu/item/10315")</f>
        <v/>
      </c>
    </row>
    <row r="317">
      <c r="A317" t="inlineStr">
        <is>
          <t>10316</t>
        </is>
      </c>
      <c r="B317" t="inlineStr">
        <is>
          <t>西之古見湊より徳之嶋内井之川迄、海上十八里午之方ニ当ル</t>
        </is>
      </c>
      <c r="C317" t="inlineStr">
        <is>
          <t>航路</t>
        </is>
      </c>
      <c r="D317" t="inlineStr"/>
      <c r="E317" t="inlineStr"/>
      <c r="F317" t="inlineStr">
        <is>
          <t>正保琉球国絵図写</t>
        </is>
      </c>
      <c r="G317" t="inlineStr"/>
      <c r="H317" t="inlineStr"/>
      <c r="I317" t="inlineStr">
        <is>
          <t>242</t>
        </is>
      </c>
      <c r="J317" t="inlineStr"/>
      <c r="K317" t="inlineStr"/>
      <c r="L317" s="1">
        <f>HYPERLINK("https://www.hi.u-tokyo.ac.jp/collection/degitalgallary/ryukyu/item/10316", "https://www.hi.u-tokyo.ac.jp/collection/degitalgallary/ryukyu/item/10316")</f>
        <v/>
      </c>
    </row>
    <row r="318">
      <c r="A318" t="inlineStr">
        <is>
          <t>10317</t>
        </is>
      </c>
      <c r="B318" t="inlineStr">
        <is>
          <t>大嶋之内西之古見湊より徳之嶋之内わにや泊迄、海上十八里未申ノ間ニ当ル</t>
        </is>
      </c>
      <c r="C318" t="inlineStr">
        <is>
          <t>航路</t>
        </is>
      </c>
      <c r="D318" t="inlineStr"/>
      <c r="E318" t="inlineStr"/>
      <c r="F318" t="inlineStr">
        <is>
          <t>正保琉球国絵図写</t>
        </is>
      </c>
      <c r="G318" t="inlineStr"/>
      <c r="H318" t="inlineStr"/>
      <c r="I318" t="inlineStr">
        <is>
          <t>243</t>
        </is>
      </c>
      <c r="J318" t="inlineStr"/>
      <c r="K318" t="inlineStr"/>
      <c r="L318" s="1">
        <f>HYPERLINK("https://www.hi.u-tokyo.ac.jp/collection/degitalgallary/ryukyu/item/10317", "https://www.hi.u-tokyo.ac.jp/collection/degitalgallary/ryukyu/item/10317")</f>
        <v/>
      </c>
    </row>
    <row r="319">
      <c r="A319" t="inlineStr">
        <is>
          <t>10318</t>
        </is>
      </c>
      <c r="B319" t="inlineStr">
        <is>
          <t>徳之嶋
高壱万九石七斗
嶋廻十七里三町</t>
        </is>
      </c>
      <c r="C319" t="inlineStr">
        <is>
          <t>島</t>
        </is>
      </c>
      <c r="D319" t="inlineStr">
        <is>
          <t>27.7904264</t>
        </is>
      </c>
      <c r="E319" t="inlineStr">
        <is>
          <t>128.9668067</t>
        </is>
      </c>
      <c r="F319" t="inlineStr">
        <is>
          <t>正保琉球国絵図写</t>
        </is>
      </c>
      <c r="G319" t="inlineStr"/>
      <c r="H319" t="inlineStr"/>
      <c r="I319" t="inlineStr">
        <is>
          <t>244</t>
        </is>
      </c>
      <c r="J319" t="inlineStr"/>
      <c r="K319" t="inlineStr">
        <is>
          <t>鹿児島県大島郡徳之島町母間</t>
        </is>
      </c>
      <c r="L319" s="1">
        <f>HYPERLINK("https://www.hi.u-tokyo.ac.jp/collection/degitalgallary/ryukyu/item/10318", "https://www.hi.u-tokyo.ac.jp/collection/degitalgallary/ryukyu/item/10318")</f>
        <v/>
      </c>
    </row>
    <row r="320">
      <c r="A320" t="inlineStr">
        <is>
          <t>10319</t>
        </is>
      </c>
      <c r="B320" t="inlineStr">
        <is>
          <t>東間切大道ヨリあこん村大道迄、四里山坂難所牛馬無往還</t>
        </is>
      </c>
      <c r="C320" t="inlineStr">
        <is>
          <t>陸路</t>
        </is>
      </c>
      <c r="D320" t="inlineStr"/>
      <c r="E320" t="inlineStr"/>
      <c r="F320" t="inlineStr">
        <is>
          <t>正保琉球国絵図写</t>
        </is>
      </c>
      <c r="G320" t="inlineStr"/>
      <c r="H320" t="inlineStr"/>
      <c r="I320" t="inlineStr">
        <is>
          <t>245</t>
        </is>
      </c>
      <c r="J320" t="inlineStr"/>
      <c r="K320" t="inlineStr"/>
      <c r="L320" s="1">
        <f>HYPERLINK("https://www.hi.u-tokyo.ac.jp/collection/degitalgallary/ryukyu/item/10319", "https://www.hi.u-tokyo.ac.jp/collection/degitalgallary/ryukyu/item/10319")</f>
        <v/>
      </c>
    </row>
    <row r="321">
      <c r="A321" t="inlineStr">
        <is>
          <t>10320</t>
        </is>
      </c>
      <c r="B321" t="inlineStr">
        <is>
          <t>さきはる</t>
        </is>
      </c>
      <c r="C321" t="inlineStr">
        <is>
          <t>崎</t>
        </is>
      </c>
      <c r="D321" t="inlineStr">
        <is>
          <t>27.8604602</t>
        </is>
      </c>
      <c r="E321" t="inlineStr">
        <is>
          <t>128.9198304</t>
        </is>
      </c>
      <c r="F321" t="inlineStr">
        <is>
          <t>正保琉球国絵図写</t>
        </is>
      </c>
      <c r="G321" t="inlineStr"/>
      <c r="H321" t="inlineStr"/>
      <c r="I321" t="inlineStr">
        <is>
          <t>246</t>
        </is>
      </c>
      <c r="J321" t="inlineStr">
        <is>
          <t>30020470000252600</t>
        </is>
      </c>
      <c r="K321" t="inlineStr">
        <is>
          <t>鹿児島県大島郡天城町与名間</t>
        </is>
      </c>
      <c r="L321" s="1">
        <f>HYPERLINK("https://www.hi.u-tokyo.ac.jp/collection/degitalgallary/ryukyu/item/10320", "https://www.hi.u-tokyo.ac.jp/collection/degitalgallary/ryukyu/item/10320")</f>
        <v/>
      </c>
    </row>
    <row r="322">
      <c r="A322" t="inlineStr">
        <is>
          <t>10321</t>
        </is>
      </c>
      <c r="B322" t="inlineStr">
        <is>
          <t>かなみ崎</t>
        </is>
      </c>
      <c r="C322" t="inlineStr">
        <is>
          <t>崎</t>
        </is>
      </c>
      <c r="D322" t="inlineStr">
        <is>
          <t>27.8902185</t>
        </is>
      </c>
      <c r="E322" t="inlineStr">
        <is>
          <t>128.9666605</t>
        </is>
      </c>
      <c r="F322" t="inlineStr">
        <is>
          <t>正保琉球国絵図写</t>
        </is>
      </c>
      <c r="G322" t="inlineStr"/>
      <c r="H322" t="inlineStr"/>
      <c r="I322" t="inlineStr">
        <is>
          <t>247</t>
        </is>
      </c>
      <c r="J322" t="inlineStr"/>
      <c r="K322" t="inlineStr">
        <is>
          <t>鹿児島県大島郡徳之島町金見</t>
        </is>
      </c>
      <c r="L322" s="1">
        <f>HYPERLINK("https://www.hi.u-tokyo.ac.jp/collection/degitalgallary/ryukyu/item/10321", "https://www.hi.u-tokyo.ac.jp/collection/degitalgallary/ryukyu/item/10321")</f>
        <v/>
      </c>
    </row>
    <row r="323">
      <c r="A323" t="inlineStr">
        <is>
          <t>10322</t>
        </is>
      </c>
      <c r="B323" t="inlineStr">
        <is>
          <t>此間壱里</t>
        </is>
      </c>
      <c r="C323" t="inlineStr">
        <is>
          <t>その他</t>
        </is>
      </c>
      <c r="D323" t="inlineStr"/>
      <c r="E323" t="inlineStr"/>
      <c r="F323" t="inlineStr">
        <is>
          <t>正保琉球国絵図写</t>
        </is>
      </c>
      <c r="G323" t="inlineStr"/>
      <c r="H323" t="inlineStr"/>
      <c r="I323" t="inlineStr">
        <is>
          <t>248</t>
        </is>
      </c>
      <c r="J323" t="inlineStr"/>
      <c r="K323" t="inlineStr"/>
      <c r="L323" s="1">
        <f>HYPERLINK("https://www.hi.u-tokyo.ac.jp/collection/degitalgallary/ryukyu/item/10322", "https://www.hi.u-tokyo.ac.jp/collection/degitalgallary/ryukyu/item/10322")</f>
        <v/>
      </c>
    </row>
    <row r="324">
      <c r="A324" t="inlineStr">
        <is>
          <t>10323</t>
        </is>
      </c>
      <c r="B324" t="inlineStr">
        <is>
          <t>とのはら</t>
        </is>
      </c>
      <c r="C324" t="inlineStr">
        <is>
          <t>その他</t>
        </is>
      </c>
      <c r="D324" t="inlineStr">
        <is>
          <t>27.9235958</t>
        </is>
      </c>
      <c r="E324" t="inlineStr">
        <is>
          <t>128.9927973</t>
        </is>
      </c>
      <c r="F324" t="inlineStr">
        <is>
          <t>正保琉球国絵図写</t>
        </is>
      </c>
      <c r="G324" t="inlineStr"/>
      <c r="H324" t="inlineStr"/>
      <c r="I324" t="inlineStr">
        <is>
          <t>249</t>
        </is>
      </c>
      <c r="J324" t="inlineStr"/>
      <c r="K324" t="inlineStr">
        <is>
          <t>鹿児島県大島郡徳之島町金見</t>
        </is>
      </c>
      <c r="L324" s="1">
        <f>HYPERLINK("https://www.hi.u-tokyo.ac.jp/collection/degitalgallary/ryukyu/item/10323", "https://www.hi.u-tokyo.ac.jp/collection/degitalgallary/ryukyu/item/10323")</f>
        <v/>
      </c>
    </row>
    <row r="325">
      <c r="A325" t="inlineStr">
        <is>
          <t>10324</t>
        </is>
      </c>
      <c r="B325" t="inlineStr">
        <is>
          <t>しよひやの崎</t>
        </is>
      </c>
      <c r="C325" t="inlineStr">
        <is>
          <t>崎</t>
        </is>
      </c>
      <c r="D325" t="inlineStr">
        <is>
          <t>27.872231</t>
        </is>
      </c>
      <c r="E325" t="inlineStr">
        <is>
          <t>128.975076</t>
        </is>
      </c>
      <c r="F325" t="inlineStr">
        <is>
          <t>正保琉球国絵図写</t>
        </is>
      </c>
      <c r="G325" t="inlineStr"/>
      <c r="H325" t="inlineStr"/>
      <c r="I325" t="inlineStr">
        <is>
          <t>250</t>
        </is>
      </c>
      <c r="J325" t="inlineStr"/>
      <c r="K325" t="inlineStr">
        <is>
          <t>鹿児島県大島郡徳之島町山</t>
        </is>
      </c>
      <c r="L325" s="1">
        <f>HYPERLINK("https://www.hi.u-tokyo.ac.jp/collection/degitalgallary/ryukyu/item/10324", "https://www.hi.u-tokyo.ac.jp/collection/degitalgallary/ryukyu/item/10324")</f>
        <v/>
      </c>
    </row>
    <row r="326">
      <c r="A326" t="inlineStr">
        <is>
          <t>10325</t>
        </is>
      </c>
      <c r="B326" t="inlineStr">
        <is>
          <t>かなま崎</t>
        </is>
      </c>
      <c r="C326" t="inlineStr">
        <is>
          <t>崎</t>
        </is>
      </c>
      <c r="D326" t="inlineStr">
        <is>
          <t>27.820358</t>
        </is>
      </c>
      <c r="E326" t="inlineStr">
        <is>
          <t>128.9511518</t>
        </is>
      </c>
      <c r="F326" t="inlineStr">
        <is>
          <t>正保琉球国絵図写</t>
        </is>
      </c>
      <c r="G326" t="inlineStr"/>
      <c r="H326" t="inlineStr"/>
      <c r="I326" t="inlineStr">
        <is>
          <t>251</t>
        </is>
      </c>
      <c r="J326" t="inlineStr"/>
      <c r="K326" t="inlineStr">
        <is>
          <t>鹿児島県大島郡徳之島町花徳</t>
        </is>
      </c>
      <c r="L326" s="1">
        <f>HYPERLINK("https://www.hi.u-tokyo.ac.jp/collection/degitalgallary/ryukyu/item/10325", "https://www.hi.u-tokyo.ac.jp/collection/degitalgallary/ryukyu/item/10325")</f>
        <v/>
      </c>
    </row>
    <row r="327">
      <c r="A327" t="inlineStr">
        <is>
          <t>10326</t>
        </is>
      </c>
      <c r="B327" t="inlineStr">
        <is>
          <t>黒はす崎</t>
        </is>
      </c>
      <c r="C327" t="inlineStr">
        <is>
          <t>崎</t>
        </is>
      </c>
      <c r="D327" t="inlineStr">
        <is>
          <t>27.831927</t>
        </is>
      </c>
      <c r="E327" t="inlineStr">
        <is>
          <t>128.972855</t>
        </is>
      </c>
      <c r="F327" t="inlineStr">
        <is>
          <t>正保琉球国絵図写</t>
        </is>
      </c>
      <c r="G327" t="inlineStr"/>
      <c r="H327" t="inlineStr"/>
      <c r="I327" t="inlineStr">
        <is>
          <t>252</t>
        </is>
      </c>
      <c r="J327" t="inlineStr"/>
      <c r="K327" t="inlineStr">
        <is>
          <t>鹿児島県大島郡徳之島町花徳</t>
        </is>
      </c>
      <c r="L327" s="1">
        <f>HYPERLINK("https://www.hi.u-tokyo.ac.jp/collection/degitalgallary/ryukyu/item/10326", "https://www.hi.u-tokyo.ac.jp/collection/degitalgallary/ryukyu/item/10326")</f>
        <v/>
      </c>
    </row>
    <row r="328">
      <c r="A328" t="inlineStr">
        <is>
          <t>10327</t>
        </is>
      </c>
      <c r="B328" t="inlineStr">
        <is>
          <t>池</t>
        </is>
      </c>
      <c r="C328" t="inlineStr">
        <is>
          <t>池</t>
        </is>
      </c>
      <c r="D328" t="inlineStr"/>
      <c r="E328" t="inlineStr"/>
      <c r="F328" t="inlineStr">
        <is>
          <t>正保琉球国絵図写</t>
        </is>
      </c>
      <c r="G328" t="inlineStr"/>
      <c r="H328" t="inlineStr"/>
      <c r="I328" t="inlineStr">
        <is>
          <t>253</t>
        </is>
      </c>
      <c r="J328" t="inlineStr"/>
      <c r="K328" t="inlineStr"/>
      <c r="L328" s="1">
        <f>HYPERLINK("https://www.hi.u-tokyo.ac.jp/collection/degitalgallary/ryukyu/item/10327", "https://www.hi.u-tokyo.ac.jp/collection/degitalgallary/ryukyu/item/10327")</f>
        <v/>
      </c>
    </row>
    <row r="329">
      <c r="A329" t="inlineStr">
        <is>
          <t>10328</t>
        </is>
      </c>
      <c r="B329" t="inlineStr">
        <is>
          <t>おつの崎</t>
        </is>
      </c>
      <c r="C329" t="inlineStr">
        <is>
          <t>崎</t>
        </is>
      </c>
      <c r="D329" t="inlineStr">
        <is>
          <t>27.8043077</t>
        </is>
      </c>
      <c r="E329" t="inlineStr">
        <is>
          <t>128.995961</t>
        </is>
      </c>
      <c r="F329" t="inlineStr">
        <is>
          <t>正保琉球国絵図写</t>
        </is>
      </c>
      <c r="G329" t="inlineStr"/>
      <c r="H329" t="inlineStr"/>
      <c r="I329" t="inlineStr">
        <is>
          <t>254</t>
        </is>
      </c>
      <c r="J329" t="inlineStr"/>
      <c r="K329" t="inlineStr">
        <is>
          <t>鹿児島県大島郡徳之島町母間</t>
        </is>
      </c>
      <c r="L329" s="1">
        <f>HYPERLINK("https://www.hi.u-tokyo.ac.jp/collection/degitalgallary/ryukyu/item/10328", "https://www.hi.u-tokyo.ac.jp/collection/degitalgallary/ryukyu/item/10328")</f>
        <v/>
      </c>
    </row>
    <row r="330">
      <c r="A330" t="inlineStr">
        <is>
          <t>10329</t>
        </is>
      </c>
      <c r="B330" t="inlineStr">
        <is>
          <t>井ノ川</t>
        </is>
      </c>
      <c r="C330" t="inlineStr">
        <is>
          <t>港湾</t>
        </is>
      </c>
      <c r="D330" t="inlineStr">
        <is>
          <t>27.7792937</t>
        </is>
      </c>
      <c r="E330" t="inlineStr">
        <is>
          <t>129.0148106</t>
        </is>
      </c>
      <c r="F330" t="inlineStr">
        <is>
          <t>正保琉球国絵図写</t>
        </is>
      </c>
      <c r="G330" t="inlineStr">
        <is>
          <t>此井之川、入廿五間、広サ廿間、深十弐尋、大船出入不自由</t>
        </is>
      </c>
      <c r="H330" t="inlineStr"/>
      <c r="I330" t="inlineStr">
        <is>
          <t>255</t>
        </is>
      </c>
      <c r="J330" t="inlineStr"/>
      <c r="K330" t="inlineStr">
        <is>
          <t>鹿児島県大島郡徳之島町井之川</t>
        </is>
      </c>
      <c r="L330" s="1">
        <f>HYPERLINK("https://www.hi.u-tokyo.ac.jp/collection/degitalgallary/ryukyu/item/10329", "https://www.hi.u-tokyo.ac.jp/collection/degitalgallary/ryukyu/item/10329")</f>
        <v/>
      </c>
    </row>
    <row r="331">
      <c r="A331" t="inlineStr">
        <is>
          <t>10330</t>
        </is>
      </c>
      <c r="B331" t="inlineStr">
        <is>
          <t>井ノ川崎</t>
        </is>
      </c>
      <c r="C331" t="inlineStr">
        <is>
          <t>崎</t>
        </is>
      </c>
      <c r="D331" t="inlineStr">
        <is>
          <t>27.7739086</t>
        </is>
      </c>
      <c r="E331" t="inlineStr">
        <is>
          <t>129.0335373</t>
        </is>
      </c>
      <c r="F331" t="inlineStr">
        <is>
          <t>正保琉球国絵図写</t>
        </is>
      </c>
      <c r="G331" t="inlineStr"/>
      <c r="H331" t="inlineStr"/>
      <c r="I331" t="inlineStr">
        <is>
          <t>256</t>
        </is>
      </c>
      <c r="J331" t="inlineStr"/>
      <c r="K331" t="inlineStr">
        <is>
          <t>鹿児島県大島郡徳之島町神之嶺</t>
        </is>
      </c>
      <c r="L331" s="1">
        <f>HYPERLINK("https://www.hi.u-tokyo.ac.jp/collection/degitalgallary/ryukyu/item/10330", "https://www.hi.u-tokyo.ac.jp/collection/degitalgallary/ryukyu/item/10330")</f>
        <v/>
      </c>
    </row>
    <row r="332">
      <c r="A332" t="inlineStr">
        <is>
          <t>10331</t>
        </is>
      </c>
      <c r="B332" t="inlineStr">
        <is>
          <t>井ノ川より秋徳湊迄海上壱里半</t>
        </is>
      </c>
      <c r="C332" t="inlineStr">
        <is>
          <t>航路</t>
        </is>
      </c>
      <c r="D332" t="inlineStr"/>
      <c r="E332" t="inlineStr"/>
      <c r="F332" t="inlineStr">
        <is>
          <t>正保琉球国絵図写</t>
        </is>
      </c>
      <c r="G332" t="inlineStr"/>
      <c r="H332" t="inlineStr"/>
      <c r="I332" t="inlineStr">
        <is>
          <t>257</t>
        </is>
      </c>
      <c r="J332" t="inlineStr"/>
      <c r="K332" t="inlineStr"/>
      <c r="L332" s="1">
        <f>HYPERLINK("https://www.hi.u-tokyo.ac.jp/collection/degitalgallary/ryukyu/item/10331", "https://www.hi.u-tokyo.ac.jp/collection/degitalgallary/ryukyu/item/10331")</f>
        <v/>
      </c>
    </row>
    <row r="333">
      <c r="A333" t="inlineStr">
        <is>
          <t>10332</t>
        </is>
      </c>
      <c r="B333" t="inlineStr">
        <is>
          <t>秋徳</t>
        </is>
      </c>
      <c r="C333" t="inlineStr">
        <is>
          <t>港湾</t>
        </is>
      </c>
      <c r="D333" t="inlineStr">
        <is>
          <t>27.7436634</t>
        </is>
      </c>
      <c r="E333" t="inlineStr">
        <is>
          <t>129.0226681</t>
        </is>
      </c>
      <c r="F333" t="inlineStr">
        <is>
          <t>正保琉球国絵図写</t>
        </is>
      </c>
      <c r="G333" t="inlineStr">
        <is>
          <t>此秋徳湊、入壱町、広さ一町、深サ五尋、大船三艘程繋ル、東風南風之時船繋リ不成</t>
        </is>
      </c>
      <c r="H333" t="inlineStr"/>
      <c r="I333" t="inlineStr">
        <is>
          <t>258</t>
        </is>
      </c>
      <c r="J333" t="inlineStr"/>
      <c r="K333" t="inlineStr">
        <is>
          <t>鹿児島県大島郡徳之島町亀徳</t>
        </is>
      </c>
      <c r="L333" s="1">
        <f>HYPERLINK("https://www.hi.u-tokyo.ac.jp/collection/degitalgallary/ryukyu/item/10332", "https://www.hi.u-tokyo.ac.jp/collection/degitalgallary/ryukyu/item/10332")</f>
        <v/>
      </c>
    </row>
    <row r="334">
      <c r="A334" t="inlineStr">
        <is>
          <t>10333</t>
        </is>
      </c>
      <c r="B334" t="inlineStr">
        <is>
          <t>たつ口</t>
        </is>
      </c>
      <c r="C334" t="inlineStr">
        <is>
          <t>その他</t>
        </is>
      </c>
      <c r="D334" t="inlineStr">
        <is>
          <t>27.7364329</t>
        </is>
      </c>
      <c r="E334" t="inlineStr">
        <is>
          <t>129.0210457</t>
        </is>
      </c>
      <c r="F334" t="inlineStr">
        <is>
          <t>正保琉球国絵図写</t>
        </is>
      </c>
      <c r="G334" t="inlineStr"/>
      <c r="H334" t="inlineStr"/>
      <c r="I334" t="inlineStr">
        <is>
          <t>259</t>
        </is>
      </c>
      <c r="J334" t="inlineStr"/>
      <c r="K334" t="inlineStr">
        <is>
          <t>鹿児島県大島郡徳之島町亀津</t>
        </is>
      </c>
      <c r="L334" s="1">
        <f>HYPERLINK("https://www.hi.u-tokyo.ac.jp/collection/degitalgallary/ryukyu/item/10333", "https://www.hi.u-tokyo.ac.jp/collection/degitalgallary/ryukyu/item/10333")</f>
        <v/>
      </c>
    </row>
    <row r="335">
      <c r="A335" t="inlineStr">
        <is>
          <t>10334</t>
        </is>
      </c>
      <c r="B335" t="inlineStr">
        <is>
          <t>かくちな崎</t>
        </is>
      </c>
      <c r="C335" t="inlineStr">
        <is>
          <t>崎</t>
        </is>
      </c>
      <c r="D335" t="inlineStr">
        <is>
          <t>27.7184525</t>
        </is>
      </c>
      <c r="E335" t="inlineStr">
        <is>
          <t>129.0188829</t>
        </is>
      </c>
      <c r="F335" t="inlineStr">
        <is>
          <t>正保琉球国絵図写</t>
        </is>
      </c>
      <c r="G335" t="inlineStr"/>
      <c r="H335" t="inlineStr"/>
      <c r="I335" t="inlineStr">
        <is>
          <t>260</t>
        </is>
      </c>
      <c r="J335" t="inlineStr"/>
      <c r="K335" t="inlineStr">
        <is>
          <t>鹿児島県大島郡徳之島町亀津</t>
        </is>
      </c>
      <c r="L335" s="1">
        <f>HYPERLINK("https://www.hi.u-tokyo.ac.jp/collection/degitalgallary/ryukyu/item/10334", "https://www.hi.u-tokyo.ac.jp/collection/degitalgallary/ryukyu/item/10334")</f>
        <v/>
      </c>
    </row>
    <row r="336">
      <c r="A336" t="inlineStr">
        <is>
          <t>10335</t>
        </is>
      </c>
      <c r="B336" t="inlineStr">
        <is>
          <t>くらひの崎</t>
        </is>
      </c>
      <c r="C336" t="inlineStr">
        <is>
          <t>崎</t>
        </is>
      </c>
      <c r="D336" t="inlineStr">
        <is>
          <t>27.6993417</t>
        </is>
      </c>
      <c r="E336" t="inlineStr">
        <is>
          <t>129.0055548</t>
        </is>
      </c>
      <c r="F336" t="inlineStr">
        <is>
          <t>正保琉球国絵図写</t>
        </is>
      </c>
      <c r="G336" t="inlineStr"/>
      <c r="H336" t="inlineStr"/>
      <c r="I336" t="inlineStr">
        <is>
          <t>261</t>
        </is>
      </c>
      <c r="J336" t="inlineStr"/>
      <c r="K336" t="inlineStr">
        <is>
          <t>鹿児島県大島郡徳之島町亀津</t>
        </is>
      </c>
      <c r="L336" s="1">
        <f>HYPERLINK("https://www.hi.u-tokyo.ac.jp/collection/degitalgallary/ryukyu/item/10335", "https://www.hi.u-tokyo.ac.jp/collection/degitalgallary/ryukyu/item/10335")</f>
        <v/>
      </c>
    </row>
    <row r="337">
      <c r="A337" t="inlineStr">
        <is>
          <t>10336</t>
        </is>
      </c>
      <c r="B337" t="inlineStr">
        <is>
          <t>秋徳湊より永良部嶋和泊迄、海上十八里未申之間ニ当ル</t>
        </is>
      </c>
      <c r="C337" t="inlineStr">
        <is>
          <t>航路</t>
        </is>
      </c>
      <c r="D337" t="inlineStr"/>
      <c r="E337" t="inlineStr"/>
      <c r="F337" t="inlineStr">
        <is>
          <t>正保琉球国絵図写</t>
        </is>
      </c>
      <c r="G337" t="inlineStr"/>
      <c r="H337" t="inlineStr"/>
      <c r="I337" t="inlineStr">
        <is>
          <t>262</t>
        </is>
      </c>
      <c r="J337" t="inlineStr"/>
      <c r="K337" t="inlineStr"/>
      <c r="L337" s="1">
        <f>HYPERLINK("https://www.hi.u-tokyo.ac.jp/collection/degitalgallary/ryukyu/item/10336", "https://www.hi.u-tokyo.ac.jp/collection/degitalgallary/ryukyu/item/10336")</f>
        <v/>
      </c>
    </row>
    <row r="338">
      <c r="A338" t="inlineStr">
        <is>
          <t>10337</t>
        </is>
      </c>
      <c r="B338" t="inlineStr">
        <is>
          <t>廉川</t>
        </is>
      </c>
      <c r="C338" t="inlineStr">
        <is>
          <t>川</t>
        </is>
      </c>
      <c r="D338" t="inlineStr">
        <is>
          <t>27.6954404</t>
        </is>
      </c>
      <c r="E338" t="inlineStr">
        <is>
          <t>128.9328828</t>
        </is>
      </c>
      <c r="F338" t="inlineStr">
        <is>
          <t>正保琉球国絵図写</t>
        </is>
      </c>
      <c r="G338" t="inlineStr"/>
      <c r="H338" t="inlineStr"/>
      <c r="I338" t="inlineStr">
        <is>
          <t>263</t>
        </is>
      </c>
      <c r="J338" t="inlineStr"/>
      <c r="K338" t="inlineStr">
        <is>
          <t>鹿児島県大島郡伊仙町阿三</t>
        </is>
      </c>
      <c r="L338" s="1">
        <f>HYPERLINK("https://www.hi.u-tokyo.ac.jp/collection/degitalgallary/ryukyu/item/10337", "https://www.hi.u-tokyo.ac.jp/collection/degitalgallary/ryukyu/item/10337")</f>
        <v/>
      </c>
    </row>
    <row r="339">
      <c r="A339" t="inlineStr">
        <is>
          <t>10338</t>
        </is>
      </c>
      <c r="B339" t="inlineStr">
        <is>
          <t>歩渡り</t>
        </is>
      </c>
      <c r="C339" t="inlineStr">
        <is>
          <t>渡河点</t>
        </is>
      </c>
      <c r="D339" t="inlineStr"/>
      <c r="E339" t="inlineStr"/>
      <c r="F339" t="inlineStr">
        <is>
          <t>正保琉球国絵図写</t>
        </is>
      </c>
      <c r="G339" t="inlineStr"/>
      <c r="H339" t="inlineStr"/>
      <c r="I339" t="inlineStr">
        <is>
          <t>264</t>
        </is>
      </c>
      <c r="J339" t="inlineStr"/>
      <c r="K339" t="inlineStr"/>
      <c r="L339" s="1">
        <f>HYPERLINK("https://www.hi.u-tokyo.ac.jp/collection/degitalgallary/ryukyu/item/10338", "https://www.hi.u-tokyo.ac.jp/collection/degitalgallary/ryukyu/item/10338")</f>
        <v/>
      </c>
    </row>
    <row r="340">
      <c r="A340" t="inlineStr">
        <is>
          <t>10339</t>
        </is>
      </c>
      <c r="B340" t="inlineStr">
        <is>
          <t>あこん川</t>
        </is>
      </c>
      <c r="C340" t="inlineStr">
        <is>
          <t>川</t>
        </is>
      </c>
      <c r="D340" t="inlineStr">
        <is>
          <t>27.7064959</t>
        </is>
      </c>
      <c r="E340" t="inlineStr">
        <is>
          <t>128.9136478</t>
        </is>
      </c>
      <c r="F340" t="inlineStr">
        <is>
          <t>正保琉球国絵図写</t>
        </is>
      </c>
      <c r="G340" t="inlineStr"/>
      <c r="H340" t="inlineStr"/>
      <c r="I340" t="inlineStr">
        <is>
          <t>265</t>
        </is>
      </c>
      <c r="J340" t="inlineStr"/>
      <c r="K340" t="inlineStr">
        <is>
          <t>鹿児島県大島郡伊仙町阿権</t>
        </is>
      </c>
      <c r="L340" s="1">
        <f>HYPERLINK("https://www.hi.u-tokyo.ac.jp/collection/degitalgallary/ryukyu/item/10339", "https://www.hi.u-tokyo.ac.jp/collection/degitalgallary/ryukyu/item/10339")</f>
        <v/>
      </c>
    </row>
    <row r="341">
      <c r="A341" t="inlineStr">
        <is>
          <t>10340</t>
        </is>
      </c>
      <c r="B341" t="inlineStr">
        <is>
          <t>歩渡り</t>
        </is>
      </c>
      <c r="C341" t="inlineStr">
        <is>
          <t>渡河点</t>
        </is>
      </c>
      <c r="D341" t="inlineStr"/>
      <c r="E341" t="inlineStr"/>
      <c r="F341" t="inlineStr">
        <is>
          <t>正保琉球国絵図写</t>
        </is>
      </c>
      <c r="G341" t="inlineStr"/>
      <c r="H341" t="inlineStr"/>
      <c r="I341" t="inlineStr">
        <is>
          <t>266</t>
        </is>
      </c>
      <c r="J341" t="inlineStr"/>
      <c r="K341" t="inlineStr"/>
      <c r="L341" s="1">
        <f>HYPERLINK("https://www.hi.u-tokyo.ac.jp/collection/degitalgallary/ryukyu/item/10340", "https://www.hi.u-tokyo.ac.jp/collection/degitalgallary/ryukyu/item/10340")</f>
        <v/>
      </c>
    </row>
    <row r="342">
      <c r="A342" t="inlineStr">
        <is>
          <t>10341</t>
        </is>
      </c>
      <c r="B342" t="inlineStr">
        <is>
          <t>犬たぶ崎</t>
        </is>
      </c>
      <c r="C342" t="inlineStr">
        <is>
          <t>崎</t>
        </is>
      </c>
      <c r="D342" t="inlineStr">
        <is>
          <t>27.7232511</t>
        </is>
      </c>
      <c r="E342" t="inlineStr">
        <is>
          <t>128.8815811</t>
        </is>
      </c>
      <c r="F342" t="inlineStr">
        <is>
          <t>正保琉球国絵図写</t>
        </is>
      </c>
      <c r="G342" t="inlineStr"/>
      <c r="H342" t="inlineStr"/>
      <c r="I342" t="inlineStr">
        <is>
          <t>267</t>
        </is>
      </c>
      <c r="J342" t="inlineStr"/>
      <c r="K342" t="inlineStr">
        <is>
          <t>鹿児島県大島郡伊仙町犬田布</t>
        </is>
      </c>
      <c r="L342" s="1">
        <f>HYPERLINK("https://www.hi.u-tokyo.ac.jp/collection/degitalgallary/ryukyu/item/10341", "https://www.hi.u-tokyo.ac.jp/collection/degitalgallary/ryukyu/item/10341")</f>
        <v/>
      </c>
    </row>
    <row r="343">
      <c r="A343" t="inlineStr">
        <is>
          <t>10342</t>
        </is>
      </c>
      <c r="B343" t="inlineStr">
        <is>
          <t>あきり神川</t>
        </is>
      </c>
      <c r="C343" t="inlineStr">
        <is>
          <t>川</t>
        </is>
      </c>
      <c r="D343" t="inlineStr">
        <is>
          <t>27.764527</t>
        </is>
      </c>
      <c r="E343" t="inlineStr">
        <is>
          <t>128.940713</t>
        </is>
      </c>
      <c r="F343" t="inlineStr">
        <is>
          <t>正保琉球国絵図写</t>
        </is>
      </c>
      <c r="G343" t="inlineStr"/>
      <c r="H343" t="inlineStr"/>
      <c r="I343" t="inlineStr">
        <is>
          <t>268</t>
        </is>
      </c>
      <c r="J343" t="inlineStr"/>
      <c r="K343" t="inlineStr">
        <is>
          <t>鹿児島県大島郡天城町西阿木名</t>
        </is>
      </c>
      <c r="L343" s="1">
        <f>HYPERLINK("https://www.hi.u-tokyo.ac.jp/collection/degitalgallary/ryukyu/item/10342", "https://www.hi.u-tokyo.ac.jp/collection/degitalgallary/ryukyu/item/10342")</f>
        <v/>
      </c>
    </row>
    <row r="344">
      <c r="A344" t="inlineStr">
        <is>
          <t>10343</t>
        </is>
      </c>
      <c r="B344" t="inlineStr">
        <is>
          <t>歩渡り</t>
        </is>
      </c>
      <c r="C344" t="inlineStr">
        <is>
          <t>渡河点</t>
        </is>
      </c>
      <c r="D344" t="inlineStr"/>
      <c r="E344" t="inlineStr"/>
      <c r="F344" t="inlineStr">
        <is>
          <t>正保琉球国絵図写</t>
        </is>
      </c>
      <c r="G344" t="inlineStr"/>
      <c r="H344" t="inlineStr"/>
      <c r="I344" t="inlineStr">
        <is>
          <t>269</t>
        </is>
      </c>
      <c r="J344" t="inlineStr"/>
      <c r="K344" t="inlineStr"/>
      <c r="L344" s="1">
        <f>HYPERLINK("https://www.hi.u-tokyo.ac.jp/collection/degitalgallary/ryukyu/item/10343", "https://www.hi.u-tokyo.ac.jp/collection/degitalgallary/ryukyu/item/10343")</f>
        <v/>
      </c>
    </row>
    <row r="345">
      <c r="A345" t="inlineStr">
        <is>
          <t>10344</t>
        </is>
      </c>
      <c r="B345" t="inlineStr">
        <is>
          <t>天摩崎</t>
        </is>
      </c>
      <c r="C345" t="inlineStr">
        <is>
          <t>崎</t>
        </is>
      </c>
      <c r="D345" t="inlineStr">
        <is>
          <t>27.787430</t>
        </is>
      </c>
      <c r="E345" t="inlineStr">
        <is>
          <t>128.889808</t>
        </is>
      </c>
      <c r="F345" t="inlineStr">
        <is>
          <t>正保琉球国絵図写</t>
        </is>
      </c>
      <c r="G345" t="inlineStr"/>
      <c r="H345" t="inlineStr"/>
      <c r="I345" t="inlineStr">
        <is>
          <t>270</t>
        </is>
      </c>
      <c r="J345" t="inlineStr"/>
      <c r="K345" t="inlineStr">
        <is>
          <t>鹿児島県大島郡天城町兼久</t>
        </is>
      </c>
      <c r="L345" s="1">
        <f>HYPERLINK("https://www.hi.u-tokyo.ac.jp/collection/degitalgallary/ryukyu/item/10344", "https://www.hi.u-tokyo.ac.jp/collection/degitalgallary/ryukyu/item/10344")</f>
        <v/>
      </c>
    </row>
    <row r="346">
      <c r="A346" t="inlineStr">
        <is>
          <t>10345</t>
        </is>
      </c>
      <c r="B346" t="inlineStr">
        <is>
          <t>へとの川</t>
        </is>
      </c>
      <c r="C346" t="inlineStr">
        <is>
          <t>川</t>
        </is>
      </c>
      <c r="D346" t="inlineStr">
        <is>
          <t>27.8110424</t>
        </is>
      </c>
      <c r="E346" t="inlineStr">
        <is>
          <t>128.8956764</t>
        </is>
      </c>
      <c r="F346" t="inlineStr">
        <is>
          <t>正保琉球国絵図写</t>
        </is>
      </c>
      <c r="G346" t="inlineStr"/>
      <c r="H346" t="inlineStr"/>
      <c r="I346" t="inlineStr">
        <is>
          <t>271</t>
        </is>
      </c>
      <c r="J346" t="inlineStr"/>
      <c r="K346" t="inlineStr">
        <is>
          <t>鹿児島県大島郡天城町平土野</t>
        </is>
      </c>
      <c r="L346" s="1">
        <f>HYPERLINK("https://www.hi.u-tokyo.ac.jp/collection/degitalgallary/ryukyu/item/10345", "https://www.hi.u-tokyo.ac.jp/collection/degitalgallary/ryukyu/item/10345")</f>
        <v/>
      </c>
    </row>
    <row r="347">
      <c r="A347" t="inlineStr">
        <is>
          <t>10346</t>
        </is>
      </c>
      <c r="B347" t="inlineStr">
        <is>
          <t>歩渡り</t>
        </is>
      </c>
      <c r="C347" t="inlineStr">
        <is>
          <t>渡河点</t>
        </is>
      </c>
      <c r="D347" t="inlineStr"/>
      <c r="E347" t="inlineStr"/>
      <c r="F347" t="inlineStr">
        <is>
          <t>正保琉球国絵図写</t>
        </is>
      </c>
      <c r="G347" t="inlineStr"/>
      <c r="H347" t="inlineStr"/>
      <c r="I347" t="inlineStr">
        <is>
          <t>272</t>
        </is>
      </c>
      <c r="J347" t="inlineStr"/>
      <c r="K347" t="inlineStr"/>
      <c r="L347" s="1">
        <f>HYPERLINK("https://www.hi.u-tokyo.ac.jp/collection/degitalgallary/ryukyu/item/10346", "https://www.hi.u-tokyo.ac.jp/collection/degitalgallary/ryukyu/item/10346")</f>
        <v/>
      </c>
    </row>
    <row r="348">
      <c r="A348" t="inlineStr">
        <is>
          <t>10347</t>
        </is>
      </c>
      <c r="B348" t="inlineStr">
        <is>
          <t>和にや泊</t>
        </is>
      </c>
      <c r="C348" t="inlineStr">
        <is>
          <t>港湾</t>
        </is>
      </c>
      <c r="D348" t="inlineStr">
        <is>
          <t>27.8329601</t>
        </is>
      </c>
      <c r="E348" t="inlineStr">
        <is>
          <t>128.8911057</t>
        </is>
      </c>
      <c r="F348" t="inlineStr">
        <is>
          <t>正保琉球国絵図写</t>
        </is>
      </c>
      <c r="G348" t="inlineStr">
        <is>
          <t>此和にや泊、入壱町廿間、広さ廿間、深さ五尋、水底惣岩、船繋リ不自由、西風之時船繋リ不成</t>
        </is>
      </c>
      <c r="H348" t="inlineStr"/>
      <c r="I348" t="inlineStr">
        <is>
          <t>273</t>
        </is>
      </c>
      <c r="J348" t="inlineStr"/>
      <c r="K348" t="inlineStr">
        <is>
          <t>鹿児島県大島郡天城町浅間</t>
        </is>
      </c>
      <c r="L348" s="1">
        <f>HYPERLINK("https://www.hi.u-tokyo.ac.jp/collection/degitalgallary/ryukyu/item/10347", "https://www.hi.u-tokyo.ac.jp/collection/degitalgallary/ryukyu/item/10347")</f>
        <v/>
      </c>
    </row>
    <row r="349">
      <c r="A349" t="inlineStr">
        <is>
          <t>10348</t>
        </is>
      </c>
      <c r="B349" t="inlineStr">
        <is>
          <t>大くろ瀬</t>
        </is>
      </c>
      <c r="C349" t="inlineStr">
        <is>
          <t>干瀬</t>
        </is>
      </c>
      <c r="D349" t="inlineStr"/>
      <c r="E349" t="inlineStr"/>
      <c r="F349" t="inlineStr">
        <is>
          <t>正保琉球国絵図写</t>
        </is>
      </c>
      <c r="G349" t="inlineStr"/>
      <c r="H349" t="inlineStr"/>
      <c r="I349" t="inlineStr">
        <is>
          <t>274</t>
        </is>
      </c>
      <c r="J349" t="inlineStr"/>
      <c r="K349" t="inlineStr"/>
      <c r="L349" s="1">
        <f>HYPERLINK("https://www.hi.u-tokyo.ac.jp/collection/degitalgallary/ryukyu/item/10348", "https://www.hi.u-tokyo.ac.jp/collection/degitalgallary/ryukyu/item/10348")</f>
        <v/>
      </c>
    </row>
    <row r="350">
      <c r="A350" t="inlineStr">
        <is>
          <t>10349</t>
        </is>
      </c>
      <c r="B350" t="inlineStr">
        <is>
          <t>つの崎</t>
        </is>
      </c>
      <c r="C350" t="inlineStr">
        <is>
          <t>崎</t>
        </is>
      </c>
      <c r="D350" t="inlineStr"/>
      <c r="E350" t="inlineStr"/>
      <c r="F350" t="inlineStr">
        <is>
          <t>正保琉球国絵図写</t>
        </is>
      </c>
      <c r="G350" t="inlineStr"/>
      <c r="H350" t="inlineStr"/>
      <c r="I350" t="inlineStr">
        <is>
          <t>275</t>
        </is>
      </c>
      <c r="J350" t="inlineStr"/>
      <c r="K350" t="inlineStr"/>
      <c r="L350" s="1">
        <f>HYPERLINK("https://www.hi.u-tokyo.ac.jp/collection/degitalgallary/ryukyu/item/10349", "https://www.hi.u-tokyo.ac.jp/collection/degitalgallary/ryukyu/item/10349")</f>
        <v/>
      </c>
    </row>
    <row r="351">
      <c r="A351" t="inlineStr">
        <is>
          <t>10350</t>
        </is>
      </c>
      <c r="B351" t="inlineStr">
        <is>
          <t>永良部嶋
高四千百五拾八石五斗
嶋廻拾里十八町</t>
        </is>
      </c>
      <c r="C351" t="inlineStr">
        <is>
          <t>島</t>
        </is>
      </c>
      <c r="D351" t="inlineStr">
        <is>
          <t>27.3662187</t>
        </is>
      </c>
      <c r="E351" t="inlineStr">
        <is>
          <t>128.6005328</t>
        </is>
      </c>
      <c r="F351" t="inlineStr">
        <is>
          <t>正保琉球国絵図写</t>
        </is>
      </c>
      <c r="G351" t="inlineStr"/>
      <c r="H351" t="inlineStr"/>
      <c r="I351" t="inlineStr">
        <is>
          <t>276</t>
        </is>
      </c>
      <c r="J351" t="inlineStr"/>
      <c r="K351" t="inlineStr">
        <is>
          <t>鹿児島県大島郡知名町上平川</t>
        </is>
      </c>
      <c r="L351" s="1">
        <f>HYPERLINK("https://www.hi.u-tokyo.ac.jp/collection/degitalgallary/ryukyu/item/10350", "https://www.hi.u-tokyo.ac.jp/collection/degitalgallary/ryukyu/item/10350")</f>
        <v/>
      </c>
    </row>
    <row r="352">
      <c r="A352" t="inlineStr">
        <is>
          <t>10351</t>
        </is>
      </c>
      <c r="B352" t="inlineStr">
        <is>
          <t>おかみ山</t>
        </is>
      </c>
      <c r="C352" t="inlineStr">
        <is>
          <t>山</t>
        </is>
      </c>
      <c r="D352" t="inlineStr"/>
      <c r="E352" t="inlineStr"/>
      <c r="F352" t="inlineStr">
        <is>
          <t>正保琉球国絵図写</t>
        </is>
      </c>
      <c r="G352" t="inlineStr"/>
      <c r="H352" t="inlineStr"/>
      <c r="I352" t="inlineStr">
        <is>
          <t>277</t>
        </is>
      </c>
      <c r="J352" t="inlineStr"/>
      <c r="K352" t="inlineStr"/>
      <c r="L352" s="1">
        <f>HYPERLINK("https://www.hi.u-tokyo.ac.jp/collection/degitalgallary/ryukyu/item/10351", "https://www.hi.u-tokyo.ac.jp/collection/degitalgallary/ryukyu/item/10351")</f>
        <v/>
      </c>
    </row>
    <row r="353">
      <c r="A353" t="inlineStr">
        <is>
          <t>10352</t>
        </is>
      </c>
      <c r="B353" t="inlineStr">
        <is>
          <t>西目村大道ヨリ下平川村大道迄、弐里</t>
        </is>
      </c>
      <c r="C353" t="inlineStr">
        <is>
          <t>陸路</t>
        </is>
      </c>
      <c r="D353" t="inlineStr"/>
      <c r="E353" t="inlineStr"/>
      <c r="F353" t="inlineStr">
        <is>
          <t>正保琉球国絵図写</t>
        </is>
      </c>
      <c r="G353" t="inlineStr"/>
      <c r="H353" t="inlineStr"/>
      <c r="I353" t="inlineStr">
        <is>
          <t>278</t>
        </is>
      </c>
      <c r="J353" t="inlineStr"/>
      <c r="K353" t="inlineStr"/>
      <c r="L353" s="1">
        <f>HYPERLINK("https://www.hi.u-tokyo.ac.jp/collection/degitalgallary/ryukyu/item/10352", "https://www.hi.u-tokyo.ac.jp/collection/degitalgallary/ryukyu/item/10352")</f>
        <v/>
      </c>
    </row>
    <row r="354">
      <c r="A354" t="inlineStr">
        <is>
          <t>10353</t>
        </is>
      </c>
      <c r="B354" t="inlineStr">
        <is>
          <t>おかみ山</t>
        </is>
      </c>
      <c r="C354" t="inlineStr">
        <is>
          <t>山</t>
        </is>
      </c>
      <c r="D354" t="inlineStr"/>
      <c r="E354" t="inlineStr"/>
      <c r="F354" t="inlineStr">
        <is>
          <t>正保琉球国絵図写</t>
        </is>
      </c>
      <c r="G354" t="inlineStr"/>
      <c r="H354" t="inlineStr"/>
      <c r="I354" t="inlineStr">
        <is>
          <t>279</t>
        </is>
      </c>
      <c r="J354" t="inlineStr"/>
      <c r="K354" t="inlineStr"/>
      <c r="L354" s="1">
        <f>HYPERLINK("https://www.hi.u-tokyo.ac.jp/collection/degitalgallary/ryukyu/item/10353", "https://www.hi.u-tokyo.ac.jp/collection/degitalgallary/ryukyu/item/10353")</f>
        <v/>
      </c>
    </row>
    <row r="355">
      <c r="A355" t="inlineStr">
        <is>
          <t>10354</t>
        </is>
      </c>
      <c r="B355" t="inlineStr">
        <is>
          <t>池</t>
        </is>
      </c>
      <c r="C355" t="inlineStr">
        <is>
          <t>その他</t>
        </is>
      </c>
      <c r="D355" t="inlineStr"/>
      <c r="E355" t="inlineStr"/>
      <c r="F355" t="inlineStr">
        <is>
          <t>正保琉球国絵図写</t>
        </is>
      </c>
      <c r="G355" t="inlineStr"/>
      <c r="H355" t="inlineStr"/>
      <c r="I355" t="inlineStr">
        <is>
          <t>280</t>
        </is>
      </c>
      <c r="J355" t="inlineStr"/>
      <c r="K355" t="inlineStr"/>
      <c r="L355" s="1">
        <f>HYPERLINK("https://www.hi.u-tokyo.ac.jp/collection/degitalgallary/ryukyu/item/10354", "https://www.hi.u-tokyo.ac.jp/collection/degitalgallary/ryukyu/item/10354")</f>
        <v/>
      </c>
    </row>
    <row r="356">
      <c r="A356" t="inlineStr">
        <is>
          <t>10355</t>
        </is>
      </c>
      <c r="B356" t="inlineStr">
        <is>
          <t>池</t>
        </is>
      </c>
      <c r="C356" t="inlineStr">
        <is>
          <t>その他</t>
        </is>
      </c>
      <c r="D356" t="inlineStr"/>
      <c r="E356" t="inlineStr"/>
      <c r="F356" t="inlineStr">
        <is>
          <t>正保琉球国絵図写</t>
        </is>
      </c>
      <c r="G356" t="inlineStr"/>
      <c r="H356" t="inlineStr"/>
      <c r="I356" t="inlineStr">
        <is>
          <t>281</t>
        </is>
      </c>
      <c r="J356" t="inlineStr"/>
      <c r="K356" t="inlineStr"/>
      <c r="L356" s="1">
        <f>HYPERLINK("https://www.hi.u-tokyo.ac.jp/collection/degitalgallary/ryukyu/item/10355", "https://www.hi.u-tokyo.ac.jp/collection/degitalgallary/ryukyu/item/10355")</f>
        <v/>
      </c>
    </row>
    <row r="357">
      <c r="A357" t="inlineStr">
        <is>
          <t>10356</t>
        </is>
      </c>
      <c r="B357" t="inlineStr">
        <is>
          <t>池</t>
        </is>
      </c>
      <c r="C357" t="inlineStr">
        <is>
          <t>その他</t>
        </is>
      </c>
      <c r="D357" t="inlineStr"/>
      <c r="E357" t="inlineStr"/>
      <c r="F357" t="inlineStr">
        <is>
          <t>正保琉球国絵図写</t>
        </is>
      </c>
      <c r="G357" t="inlineStr"/>
      <c r="H357" t="inlineStr"/>
      <c r="I357" t="inlineStr">
        <is>
          <t>282</t>
        </is>
      </c>
      <c r="J357" t="inlineStr"/>
      <c r="K357" t="inlineStr"/>
      <c r="L357" s="1">
        <f>HYPERLINK("https://www.hi.u-tokyo.ac.jp/collection/degitalgallary/ryukyu/item/10356", "https://www.hi.u-tokyo.ac.jp/collection/degitalgallary/ryukyu/item/10356")</f>
        <v/>
      </c>
    </row>
    <row r="358">
      <c r="A358" t="inlineStr">
        <is>
          <t>10357</t>
        </is>
      </c>
      <c r="B358" t="inlineStr">
        <is>
          <t>池</t>
        </is>
      </c>
      <c r="C358" t="inlineStr">
        <is>
          <t>その他</t>
        </is>
      </c>
      <c r="D358" t="inlineStr"/>
      <c r="E358" t="inlineStr"/>
      <c r="F358" t="inlineStr">
        <is>
          <t>正保琉球国絵図写</t>
        </is>
      </c>
      <c r="G358" t="inlineStr"/>
      <c r="H358" t="inlineStr"/>
      <c r="I358" t="inlineStr">
        <is>
          <t>283</t>
        </is>
      </c>
      <c r="J358" t="inlineStr"/>
      <c r="K358" t="inlineStr"/>
      <c r="L358" s="1">
        <f>HYPERLINK("https://www.hi.u-tokyo.ac.jp/collection/degitalgallary/ryukyu/item/10357", "https://www.hi.u-tokyo.ac.jp/collection/degitalgallary/ryukyu/item/10357")</f>
        <v/>
      </c>
    </row>
    <row r="359">
      <c r="A359" t="inlineStr">
        <is>
          <t>10358</t>
        </is>
      </c>
      <c r="B359" t="inlineStr">
        <is>
          <t>池</t>
        </is>
      </c>
      <c r="C359" t="inlineStr">
        <is>
          <t>その他</t>
        </is>
      </c>
      <c r="D359" t="inlineStr"/>
      <c r="E359" t="inlineStr"/>
      <c r="F359" t="inlineStr">
        <is>
          <t>正保琉球国絵図写</t>
        </is>
      </c>
      <c r="G359" t="inlineStr"/>
      <c r="H359" t="inlineStr"/>
      <c r="I359" t="inlineStr">
        <is>
          <t>284</t>
        </is>
      </c>
      <c r="J359" t="inlineStr"/>
      <c r="K359" t="inlineStr"/>
      <c r="L359" s="1">
        <f>HYPERLINK("https://www.hi.u-tokyo.ac.jp/collection/degitalgallary/ryukyu/item/10358", "https://www.hi.u-tokyo.ac.jp/collection/degitalgallary/ryukyu/item/10358")</f>
        <v/>
      </c>
    </row>
    <row r="360">
      <c r="A360" t="inlineStr">
        <is>
          <t>10359</t>
        </is>
      </c>
      <c r="B360" t="inlineStr">
        <is>
          <t>池</t>
        </is>
      </c>
      <c r="C360" t="inlineStr">
        <is>
          <t>その他</t>
        </is>
      </c>
      <c r="D360" t="inlineStr"/>
      <c r="E360" t="inlineStr"/>
      <c r="F360" t="inlineStr">
        <is>
          <t>正保琉球国絵図写</t>
        </is>
      </c>
      <c r="G360" t="inlineStr"/>
      <c r="H360" t="inlineStr"/>
      <c r="I360" t="inlineStr">
        <is>
          <t>285</t>
        </is>
      </c>
      <c r="J360" t="inlineStr"/>
      <c r="K360" t="inlineStr"/>
      <c r="L360" s="1">
        <f>HYPERLINK("https://www.hi.u-tokyo.ac.jp/collection/degitalgallary/ryukyu/item/10359", "https://www.hi.u-tokyo.ac.jp/collection/degitalgallary/ryukyu/item/10359")</f>
        <v/>
      </c>
    </row>
    <row r="361">
      <c r="A361" t="inlineStr">
        <is>
          <t>10360</t>
        </is>
      </c>
      <c r="B361" t="inlineStr">
        <is>
          <t>池</t>
        </is>
      </c>
      <c r="C361" t="inlineStr">
        <is>
          <t>その他</t>
        </is>
      </c>
      <c r="D361" t="inlineStr"/>
      <c r="E361" t="inlineStr"/>
      <c r="F361" t="inlineStr">
        <is>
          <t>正保琉球国絵図写</t>
        </is>
      </c>
      <c r="G361" t="inlineStr"/>
      <c r="H361" t="inlineStr"/>
      <c r="I361" t="inlineStr">
        <is>
          <t>286</t>
        </is>
      </c>
      <c r="J361" t="inlineStr"/>
      <c r="K361" t="inlineStr"/>
      <c r="L361" s="1">
        <f>HYPERLINK("https://www.hi.u-tokyo.ac.jp/collection/degitalgallary/ryukyu/item/10360", "https://www.hi.u-tokyo.ac.jp/collection/degitalgallary/ryukyu/item/10360")</f>
        <v/>
      </c>
    </row>
    <row r="362">
      <c r="A362" t="inlineStr">
        <is>
          <t>10361</t>
        </is>
      </c>
      <c r="B362" t="inlineStr">
        <is>
          <t>きひる浜</t>
        </is>
      </c>
      <c r="C362" t="inlineStr">
        <is>
          <t>その他</t>
        </is>
      </c>
      <c r="D362" t="inlineStr">
        <is>
          <t>27.411801</t>
        </is>
      </c>
      <c r="E362" t="inlineStr">
        <is>
          <t>128.6700217</t>
        </is>
      </c>
      <c r="F362" t="inlineStr">
        <is>
          <t>正保琉球国絵図写</t>
        </is>
      </c>
      <c r="G362" t="inlineStr"/>
      <c r="H362" t="inlineStr"/>
      <c r="I362" t="inlineStr">
        <is>
          <t>287</t>
        </is>
      </c>
      <c r="J362" t="inlineStr"/>
      <c r="K362" t="inlineStr">
        <is>
          <t>鹿児島県大島郡和泊町喜美留</t>
        </is>
      </c>
      <c r="L362" s="1">
        <f>HYPERLINK("https://www.hi.u-tokyo.ac.jp/collection/degitalgallary/ryukyu/item/10361", "https://www.hi.u-tokyo.ac.jp/collection/degitalgallary/ryukyu/item/10361")</f>
        <v/>
      </c>
    </row>
    <row r="363">
      <c r="A363" t="inlineStr">
        <is>
          <t>10362</t>
        </is>
      </c>
      <c r="B363" t="inlineStr">
        <is>
          <t>池</t>
        </is>
      </c>
      <c r="C363" t="inlineStr">
        <is>
          <t>その他</t>
        </is>
      </c>
      <c r="D363" t="inlineStr"/>
      <c r="E363" t="inlineStr"/>
      <c r="F363" t="inlineStr">
        <is>
          <t>正保琉球国絵図写</t>
        </is>
      </c>
      <c r="G363" t="inlineStr"/>
      <c r="H363" t="inlineStr"/>
      <c r="I363" t="inlineStr">
        <is>
          <t>288</t>
        </is>
      </c>
      <c r="J363" t="inlineStr"/>
      <c r="K363" t="inlineStr"/>
      <c r="L363" s="1">
        <f>HYPERLINK("https://www.hi.u-tokyo.ac.jp/collection/degitalgallary/ryukyu/item/10362", "https://www.hi.u-tokyo.ac.jp/collection/degitalgallary/ryukyu/item/10362")</f>
        <v/>
      </c>
    </row>
    <row r="364">
      <c r="A364" t="inlineStr">
        <is>
          <t>10363</t>
        </is>
      </c>
      <c r="B364" t="inlineStr">
        <is>
          <t>おかみ山</t>
        </is>
      </c>
      <c r="C364" t="inlineStr">
        <is>
          <t>山</t>
        </is>
      </c>
      <c r="D364" t="inlineStr"/>
      <c r="E364" t="inlineStr"/>
      <c r="F364" t="inlineStr">
        <is>
          <t>正保琉球国絵図写</t>
        </is>
      </c>
      <c r="G364" t="inlineStr"/>
      <c r="H364" t="inlineStr"/>
      <c r="I364" t="inlineStr">
        <is>
          <t>289</t>
        </is>
      </c>
      <c r="J364" t="inlineStr"/>
      <c r="K364" t="inlineStr"/>
      <c r="L364" s="1">
        <f>HYPERLINK("https://www.hi.u-tokyo.ac.jp/collection/degitalgallary/ryukyu/item/10363", "https://www.hi.u-tokyo.ac.jp/collection/degitalgallary/ryukyu/item/10363")</f>
        <v/>
      </c>
    </row>
    <row r="365">
      <c r="A365" t="inlineStr">
        <is>
          <t>10364</t>
        </is>
      </c>
      <c r="B365" t="inlineStr">
        <is>
          <t>やぎにや崎</t>
        </is>
      </c>
      <c r="C365" t="inlineStr">
        <is>
          <t>崎</t>
        </is>
      </c>
      <c r="D365" t="inlineStr">
        <is>
          <t>27.4040423</t>
        </is>
      </c>
      <c r="E365" t="inlineStr">
        <is>
          <t>128.5376787</t>
        </is>
      </c>
      <c r="F365" t="inlineStr">
        <is>
          <t>正保琉球国絵図写</t>
        </is>
      </c>
      <c r="G365" t="inlineStr"/>
      <c r="H365" t="inlineStr"/>
      <c r="I365" t="inlineStr">
        <is>
          <t>290</t>
        </is>
      </c>
      <c r="J365" t="inlineStr"/>
      <c r="K365" t="inlineStr">
        <is>
          <t>鹿児島県大島郡知名町田皆</t>
        </is>
      </c>
      <c r="L365" s="1">
        <f>HYPERLINK("https://www.hi.u-tokyo.ac.jp/collection/degitalgallary/ryukyu/item/10364", "https://www.hi.u-tokyo.ac.jp/collection/degitalgallary/ryukyu/item/10364")</f>
        <v/>
      </c>
    </row>
    <row r="366">
      <c r="A366" t="inlineStr">
        <is>
          <t>10365</t>
        </is>
      </c>
      <c r="B366" t="inlineStr">
        <is>
          <t>国頭崎</t>
        </is>
      </c>
      <c r="C366" t="inlineStr">
        <is>
          <t>崎</t>
        </is>
      </c>
      <c r="D366" t="inlineStr">
        <is>
          <t>27.4340391</t>
        </is>
      </c>
      <c r="E366" t="inlineStr">
        <is>
          <t>128.7135806</t>
        </is>
      </c>
      <c r="F366" t="inlineStr">
        <is>
          <t>正保琉球国絵図写</t>
        </is>
      </c>
      <c r="G366" t="inlineStr"/>
      <c r="H366" t="inlineStr"/>
      <c r="I366" t="inlineStr">
        <is>
          <t>291</t>
        </is>
      </c>
      <c r="J366" t="inlineStr"/>
      <c r="K366" t="inlineStr">
        <is>
          <t>鹿児島県大島郡和泊町国頭</t>
        </is>
      </c>
      <c r="L366" s="1">
        <f>HYPERLINK("https://www.hi.u-tokyo.ac.jp/collection/degitalgallary/ryukyu/item/10365", "https://www.hi.u-tokyo.ac.jp/collection/degitalgallary/ryukyu/item/10365")</f>
        <v/>
      </c>
    </row>
    <row r="367">
      <c r="A367" t="inlineStr">
        <is>
          <t>10366</t>
        </is>
      </c>
      <c r="B367" t="inlineStr">
        <is>
          <t>和泊</t>
        </is>
      </c>
      <c r="C367" t="inlineStr">
        <is>
          <t>港湾</t>
        </is>
      </c>
      <c r="D367" t="inlineStr">
        <is>
          <t>27.4129254</t>
        </is>
      </c>
      <c r="E367" t="inlineStr">
        <is>
          <t>128.6438081</t>
        </is>
      </c>
      <c r="F367" t="inlineStr">
        <is>
          <t>正保琉球国絵図写</t>
        </is>
      </c>
      <c r="G367" t="inlineStr">
        <is>
          <t>此和泊、入弐町廿間、広サ弐町四拾間、干汐之時深サ六尋、水底はへにて船繋リ不自由、東風之時船繋リ不成</t>
        </is>
      </c>
      <c r="H367" t="inlineStr"/>
      <c r="I367" t="inlineStr">
        <is>
          <t>292</t>
        </is>
      </c>
      <c r="J367" t="inlineStr"/>
      <c r="K367" t="inlineStr">
        <is>
          <t>鹿児島県大島郡和泊町伊延</t>
        </is>
      </c>
      <c r="L367" s="1">
        <f>HYPERLINK("https://www.hi.u-tokyo.ac.jp/collection/degitalgallary/ryukyu/item/10366", "https://www.hi.u-tokyo.ac.jp/collection/degitalgallary/ryukyu/item/10366")</f>
        <v/>
      </c>
    </row>
    <row r="368">
      <c r="A368" t="inlineStr">
        <is>
          <t>10367</t>
        </is>
      </c>
      <c r="B368" t="inlineStr">
        <is>
          <t>和泊より与論嶋之内あがさ泊迄、海上十三里午未間ニ当ル</t>
        </is>
      </c>
      <c r="C368" t="inlineStr">
        <is>
          <t>港湾</t>
        </is>
      </c>
      <c r="D368" t="inlineStr"/>
      <c r="E368" t="inlineStr"/>
      <c r="F368" t="inlineStr">
        <is>
          <t>正保琉球国絵図写</t>
        </is>
      </c>
      <c r="G368" t="inlineStr"/>
      <c r="H368" t="inlineStr"/>
      <c r="I368" t="inlineStr">
        <is>
          <t>293</t>
        </is>
      </c>
      <c r="J368" t="inlineStr"/>
      <c r="K368" t="inlineStr"/>
      <c r="L368" s="1">
        <f>HYPERLINK("https://www.hi.u-tokyo.ac.jp/collection/degitalgallary/ryukyu/item/10367", "https://www.hi.u-tokyo.ac.jp/collection/degitalgallary/ryukyu/item/10367")</f>
        <v/>
      </c>
    </row>
    <row r="369">
      <c r="A369" t="inlineStr">
        <is>
          <t>10368</t>
        </is>
      </c>
      <c r="B369" t="inlineStr">
        <is>
          <t>あまた川</t>
        </is>
      </c>
      <c r="C369" t="inlineStr">
        <is>
          <t>川</t>
        </is>
      </c>
      <c r="D369" t="inlineStr"/>
      <c r="E369" t="inlineStr"/>
      <c r="F369" t="inlineStr">
        <is>
          <t>正保琉球国絵図写</t>
        </is>
      </c>
      <c r="G369" t="inlineStr"/>
      <c r="H369" t="inlineStr"/>
      <c r="I369" t="inlineStr">
        <is>
          <t>294</t>
        </is>
      </c>
      <c r="J369" t="inlineStr"/>
      <c r="K369" t="inlineStr"/>
      <c r="L369" s="1">
        <f>HYPERLINK("https://www.hi.u-tokyo.ac.jp/collection/degitalgallary/ryukyu/item/10368", "https://www.hi.u-tokyo.ac.jp/collection/degitalgallary/ryukyu/item/10368")</f>
        <v/>
      </c>
    </row>
    <row r="370">
      <c r="A370" t="inlineStr">
        <is>
          <t>10369</t>
        </is>
      </c>
      <c r="B370" t="inlineStr">
        <is>
          <t>おかみ山</t>
        </is>
      </c>
      <c r="C370" t="inlineStr">
        <is>
          <t>山</t>
        </is>
      </c>
      <c r="D370" t="inlineStr">
        <is>
          <t>27.3402184</t>
        </is>
      </c>
      <c r="E370" t="inlineStr">
        <is>
          <t>128.5506652</t>
        </is>
      </c>
      <c r="F370" t="inlineStr">
        <is>
          <t>正保琉球国絵図写</t>
        </is>
      </c>
      <c r="G370" t="inlineStr"/>
      <c r="H370" t="inlineStr"/>
      <c r="I370" t="inlineStr">
        <is>
          <t>295</t>
        </is>
      </c>
      <c r="J370" t="inlineStr"/>
      <c r="K370" t="inlineStr">
        <is>
          <t>鹿児島県大島郡知名町屋子母</t>
        </is>
      </c>
      <c r="L370" s="1">
        <f>HYPERLINK("https://www.hi.u-tokyo.ac.jp/collection/degitalgallary/ryukyu/item/10369", "https://www.hi.u-tokyo.ac.jp/collection/degitalgallary/ryukyu/item/10369")</f>
        <v/>
      </c>
    </row>
    <row r="371">
      <c r="A371" t="inlineStr">
        <is>
          <t>10370</t>
        </is>
      </c>
      <c r="B371" t="inlineStr">
        <is>
          <t>池</t>
        </is>
      </c>
      <c r="C371" t="inlineStr">
        <is>
          <t>その他</t>
        </is>
      </c>
      <c r="D371" t="inlineStr">
        <is>
          <t>27.3402184</t>
        </is>
      </c>
      <c r="E371" t="inlineStr">
        <is>
          <t>128.5506652</t>
        </is>
      </c>
      <c r="F371" t="inlineStr">
        <is>
          <t>正保琉球国絵図写</t>
        </is>
      </c>
      <c r="G371" t="inlineStr"/>
      <c r="H371" t="inlineStr"/>
      <c r="I371" t="inlineStr">
        <is>
          <t>296</t>
        </is>
      </c>
      <c r="J371" t="inlineStr"/>
      <c r="K371" t="inlineStr">
        <is>
          <t>鹿児島県大島郡知名町屋子母</t>
        </is>
      </c>
      <c r="L371" s="1">
        <f>HYPERLINK("https://www.hi.u-tokyo.ac.jp/collection/degitalgallary/ryukyu/item/10370", "https://www.hi.u-tokyo.ac.jp/collection/degitalgallary/ryukyu/item/10370")</f>
        <v/>
      </c>
    </row>
    <row r="372">
      <c r="A372" t="inlineStr">
        <is>
          <t>10371</t>
        </is>
      </c>
      <c r="B372" t="inlineStr">
        <is>
          <t>池</t>
        </is>
      </c>
      <c r="C372" t="inlineStr">
        <is>
          <t>その他</t>
        </is>
      </c>
      <c r="D372" t="inlineStr"/>
      <c r="E372" t="inlineStr"/>
      <c r="F372" t="inlineStr">
        <is>
          <t>正保琉球国絵図写</t>
        </is>
      </c>
      <c r="G372" t="inlineStr"/>
      <c r="H372" t="inlineStr"/>
      <c r="I372" t="inlineStr">
        <is>
          <t>297</t>
        </is>
      </c>
      <c r="J372" t="inlineStr"/>
      <c r="K372" t="inlineStr"/>
      <c r="L372" s="1">
        <f>HYPERLINK("https://www.hi.u-tokyo.ac.jp/collection/degitalgallary/ryukyu/item/10371", "https://www.hi.u-tokyo.ac.jp/collection/degitalgallary/ryukyu/item/10371")</f>
        <v/>
      </c>
    </row>
    <row r="373">
      <c r="A373" t="inlineStr">
        <is>
          <t>10372</t>
        </is>
      </c>
      <c r="B373" t="inlineStr">
        <is>
          <t>池</t>
        </is>
      </c>
      <c r="C373" t="inlineStr">
        <is>
          <t>その他</t>
        </is>
      </c>
      <c r="D373" t="inlineStr"/>
      <c r="E373" t="inlineStr"/>
      <c r="F373" t="inlineStr">
        <is>
          <t>正保琉球国絵図写</t>
        </is>
      </c>
      <c r="G373" t="inlineStr"/>
      <c r="H373" t="inlineStr"/>
      <c r="I373" t="inlineStr">
        <is>
          <t>298</t>
        </is>
      </c>
      <c r="J373" t="inlineStr"/>
      <c r="K373" t="inlineStr"/>
      <c r="L373" s="1">
        <f>HYPERLINK("https://www.hi.u-tokyo.ac.jp/collection/degitalgallary/ryukyu/item/10372", "https://www.hi.u-tokyo.ac.jp/collection/degitalgallary/ryukyu/item/10372")</f>
        <v/>
      </c>
    </row>
    <row r="374">
      <c r="A374" t="inlineStr">
        <is>
          <t>10373</t>
        </is>
      </c>
      <c r="B374" t="inlineStr">
        <is>
          <t>与論嶋
高千弐百七拾弐石六斗
嶋廻三里五町</t>
        </is>
      </c>
      <c r="C374" t="inlineStr">
        <is>
          <t>島</t>
        </is>
      </c>
      <c r="D374" t="inlineStr">
        <is>
          <t>27.042604</t>
        </is>
      </c>
      <c r="E374" t="inlineStr">
        <is>
          <t>128.432407</t>
        </is>
      </c>
      <c r="F374" t="inlineStr">
        <is>
          <t>正保琉球国絵図写</t>
        </is>
      </c>
      <c r="G374" t="inlineStr"/>
      <c r="H374" t="inlineStr"/>
      <c r="I374" t="inlineStr">
        <is>
          <t>299</t>
        </is>
      </c>
      <c r="J374" t="inlineStr"/>
      <c r="K374" t="inlineStr">
        <is>
          <t>鹿児島県大島郡与論町朝戸</t>
        </is>
      </c>
      <c r="L374" s="1">
        <f>HYPERLINK("https://www.hi.u-tokyo.ac.jp/collection/degitalgallary/ryukyu/item/10373", "https://www.hi.u-tokyo.ac.jp/collection/degitalgallary/ryukyu/item/10373")</f>
        <v/>
      </c>
    </row>
    <row r="375">
      <c r="A375" t="inlineStr">
        <is>
          <t>10374</t>
        </is>
      </c>
      <c r="B375" t="inlineStr">
        <is>
          <t>異国船遠見番所</t>
        </is>
      </c>
      <c r="C375" t="inlineStr">
        <is>
          <t>その他</t>
        </is>
      </c>
      <c r="D375" t="inlineStr"/>
      <c r="E375" t="inlineStr"/>
      <c r="F375" t="inlineStr">
        <is>
          <t>正保琉球国絵図写</t>
        </is>
      </c>
      <c r="G375" t="inlineStr"/>
      <c r="H375" t="inlineStr"/>
      <c r="I375" t="inlineStr">
        <is>
          <t>300</t>
        </is>
      </c>
      <c r="J375" t="inlineStr"/>
      <c r="K375" t="inlineStr"/>
      <c r="L375" s="1">
        <f>HYPERLINK("https://www.hi.u-tokyo.ac.jp/collection/degitalgallary/ryukyu/item/10374", "https://www.hi.u-tokyo.ac.jp/collection/degitalgallary/ryukyu/item/10374")</f>
        <v/>
      </c>
    </row>
    <row r="376">
      <c r="A376" t="inlineStr">
        <is>
          <t>10375</t>
        </is>
      </c>
      <c r="B376" t="inlineStr">
        <is>
          <t>池</t>
        </is>
      </c>
      <c r="C376" t="inlineStr">
        <is>
          <t>その他</t>
        </is>
      </c>
      <c r="D376" t="inlineStr"/>
      <c r="E376" t="inlineStr"/>
      <c r="F376" t="inlineStr">
        <is>
          <t>正保琉球国絵図写</t>
        </is>
      </c>
      <c r="G376" t="inlineStr"/>
      <c r="H376" t="inlineStr"/>
      <c r="I376" t="inlineStr">
        <is>
          <t>301</t>
        </is>
      </c>
      <c r="J376" t="inlineStr"/>
      <c r="K376" t="inlineStr"/>
      <c r="L376" s="1">
        <f>HYPERLINK("https://www.hi.u-tokyo.ac.jp/collection/degitalgallary/ryukyu/item/10375", "https://www.hi.u-tokyo.ac.jp/collection/degitalgallary/ryukyu/item/10375")</f>
        <v/>
      </c>
    </row>
    <row r="377">
      <c r="A377" t="inlineStr">
        <is>
          <t>10376</t>
        </is>
      </c>
      <c r="B377" t="inlineStr">
        <is>
          <t>池</t>
        </is>
      </c>
      <c r="C377" t="inlineStr">
        <is>
          <t>その他</t>
        </is>
      </c>
      <c r="D377" t="inlineStr"/>
      <c r="E377" t="inlineStr"/>
      <c r="F377" t="inlineStr">
        <is>
          <t>正保琉球国絵図写</t>
        </is>
      </c>
      <c r="G377" t="inlineStr"/>
      <c r="H377" t="inlineStr"/>
      <c r="I377" t="inlineStr">
        <is>
          <t>302</t>
        </is>
      </c>
      <c r="J377" t="inlineStr"/>
      <c r="K377" t="inlineStr"/>
      <c r="L377" s="1">
        <f>HYPERLINK("https://www.hi.u-tokyo.ac.jp/collection/degitalgallary/ryukyu/item/10376", "https://www.hi.u-tokyo.ac.jp/collection/degitalgallary/ryukyu/item/10376")</f>
        <v/>
      </c>
    </row>
    <row r="378">
      <c r="A378" t="inlineStr">
        <is>
          <t>10377</t>
        </is>
      </c>
      <c r="B378" t="inlineStr">
        <is>
          <t>池</t>
        </is>
      </c>
      <c r="C378" t="inlineStr">
        <is>
          <t>その他</t>
        </is>
      </c>
      <c r="D378" t="inlineStr"/>
      <c r="E378" t="inlineStr"/>
      <c r="F378" t="inlineStr">
        <is>
          <t>正保琉球国絵図写</t>
        </is>
      </c>
      <c r="G378" t="inlineStr"/>
      <c r="H378" t="inlineStr"/>
      <c r="I378" t="inlineStr">
        <is>
          <t>303</t>
        </is>
      </c>
      <c r="J378" t="inlineStr"/>
      <c r="K378" t="inlineStr"/>
      <c r="L378" s="1">
        <f>HYPERLINK("https://www.hi.u-tokyo.ac.jp/collection/degitalgallary/ryukyu/item/10377", "https://www.hi.u-tokyo.ac.jp/collection/degitalgallary/ryukyu/item/10377")</f>
        <v/>
      </c>
    </row>
    <row r="379">
      <c r="A379" t="inlineStr">
        <is>
          <t>10378</t>
        </is>
      </c>
      <c r="B379" t="inlineStr">
        <is>
          <t>池</t>
        </is>
      </c>
      <c r="C379" t="inlineStr">
        <is>
          <t>その他</t>
        </is>
      </c>
      <c r="D379" t="inlineStr"/>
      <c r="E379" t="inlineStr"/>
      <c r="F379" t="inlineStr">
        <is>
          <t>正保琉球国絵図写</t>
        </is>
      </c>
      <c r="G379" t="inlineStr"/>
      <c r="H379" t="inlineStr"/>
      <c r="I379" t="inlineStr">
        <is>
          <t>304</t>
        </is>
      </c>
      <c r="J379" t="inlineStr"/>
      <c r="K379" t="inlineStr"/>
      <c r="L379" s="1">
        <f>HYPERLINK("https://www.hi.u-tokyo.ac.jp/collection/degitalgallary/ryukyu/item/10378", "https://www.hi.u-tokyo.ac.jp/collection/degitalgallary/ryukyu/item/10378")</f>
        <v/>
      </c>
    </row>
    <row r="380">
      <c r="A380" t="inlineStr">
        <is>
          <t>10379</t>
        </is>
      </c>
      <c r="B380" t="inlineStr">
        <is>
          <t>池</t>
        </is>
      </c>
      <c r="C380" t="inlineStr">
        <is>
          <t>その他</t>
        </is>
      </c>
      <c r="D380" t="inlineStr"/>
      <c r="E380" t="inlineStr"/>
      <c r="F380" t="inlineStr">
        <is>
          <t>正保琉球国絵図写</t>
        </is>
      </c>
      <c r="G380" t="inlineStr"/>
      <c r="H380" t="inlineStr"/>
      <c r="I380" t="inlineStr">
        <is>
          <t>305</t>
        </is>
      </c>
      <c r="J380" t="inlineStr"/>
      <c r="K380" t="inlineStr"/>
      <c r="L380" s="1">
        <f>HYPERLINK("https://www.hi.u-tokyo.ac.jp/collection/degitalgallary/ryukyu/item/10379", "https://www.hi.u-tokyo.ac.jp/collection/degitalgallary/ryukyu/item/10379")</f>
        <v/>
      </c>
    </row>
    <row r="381">
      <c r="A381" t="inlineStr">
        <is>
          <t>10380</t>
        </is>
      </c>
      <c r="B381" t="inlineStr">
        <is>
          <t>めなさ</t>
        </is>
      </c>
      <c r="C381" t="inlineStr">
        <is>
          <t>その他</t>
        </is>
      </c>
      <c r="D381" t="inlineStr">
        <is>
          <t>27.0591907</t>
        </is>
      </c>
      <c r="E381" t="inlineStr">
        <is>
          <t>128.4350372</t>
        </is>
      </c>
      <c r="F381" t="inlineStr">
        <is>
          <t>正保琉球国絵図写</t>
        </is>
      </c>
      <c r="G381" t="inlineStr"/>
      <c r="H381" t="inlineStr"/>
      <c r="I381" t="inlineStr">
        <is>
          <t>306</t>
        </is>
      </c>
      <c r="J381" t="inlineStr"/>
      <c r="K381" t="inlineStr">
        <is>
          <t>鹿児島県大島郡与論町那間</t>
        </is>
      </c>
      <c r="L381" s="1">
        <f>HYPERLINK("https://www.hi.u-tokyo.ac.jp/collection/degitalgallary/ryukyu/item/10380", "https://www.hi.u-tokyo.ac.jp/collection/degitalgallary/ryukyu/item/10380")</f>
        <v/>
      </c>
    </row>
    <row r="382">
      <c r="A382" t="inlineStr">
        <is>
          <t>10381</t>
        </is>
      </c>
      <c r="B382" t="inlineStr">
        <is>
          <t>地はなれ</t>
        </is>
      </c>
      <c r="C382" t="inlineStr">
        <is>
          <t>その他</t>
        </is>
      </c>
      <c r="D382" t="inlineStr">
        <is>
          <t>27.0443704</t>
        </is>
      </c>
      <c r="E382" t="inlineStr">
        <is>
          <t>128.4546188</t>
        </is>
      </c>
      <c r="F382" t="inlineStr">
        <is>
          <t>正保琉球国絵図写</t>
        </is>
      </c>
      <c r="G382" t="inlineStr"/>
      <c r="H382" t="inlineStr"/>
      <c r="I382" t="inlineStr">
        <is>
          <t>307</t>
        </is>
      </c>
      <c r="J382" t="inlineStr"/>
      <c r="K382" t="inlineStr">
        <is>
          <t>鹿児島県大島郡与論町古里</t>
        </is>
      </c>
      <c r="L382" s="1">
        <f>HYPERLINK("https://www.hi.u-tokyo.ac.jp/collection/degitalgallary/ryukyu/item/10381", "https://www.hi.u-tokyo.ac.jp/collection/degitalgallary/ryukyu/item/10381")</f>
        <v/>
      </c>
    </row>
    <row r="383">
      <c r="A383" t="inlineStr">
        <is>
          <t>10382</t>
        </is>
      </c>
      <c r="B383" t="inlineStr">
        <is>
          <t>此干瀬赤崎ヨリ十七八町程出ル</t>
        </is>
      </c>
      <c r="C383" t="inlineStr">
        <is>
          <t>干瀬</t>
        </is>
      </c>
      <c r="D383" t="inlineStr"/>
      <c r="E383" t="inlineStr"/>
      <c r="F383" t="inlineStr">
        <is>
          <t>正保琉球国絵図写</t>
        </is>
      </c>
      <c r="G383" t="inlineStr"/>
      <c r="H383" t="inlineStr"/>
      <c r="I383" t="inlineStr">
        <is>
          <t>308</t>
        </is>
      </c>
      <c r="J383" t="inlineStr"/>
      <c r="K383" t="inlineStr"/>
      <c r="L383" s="1">
        <f>HYPERLINK("https://www.hi.u-tokyo.ac.jp/collection/degitalgallary/ryukyu/item/10382", "https://www.hi.u-tokyo.ac.jp/collection/degitalgallary/ryukyu/item/10382")</f>
        <v/>
      </c>
    </row>
    <row r="384">
      <c r="A384" t="inlineStr">
        <is>
          <t>10383</t>
        </is>
      </c>
      <c r="B384" t="inlineStr">
        <is>
          <t>赤崎</t>
        </is>
      </c>
      <c r="C384" t="inlineStr">
        <is>
          <t>崎</t>
        </is>
      </c>
      <c r="D384" t="inlineStr">
        <is>
          <t>27.024395</t>
        </is>
      </c>
      <c r="E384" t="inlineStr">
        <is>
          <t>128.457014</t>
        </is>
      </c>
      <c r="F384" t="inlineStr">
        <is>
          <t>正保琉球国絵図写</t>
        </is>
      </c>
      <c r="G384" t="inlineStr"/>
      <c r="H384" t="inlineStr"/>
      <c r="I384" t="inlineStr">
        <is>
          <t>309</t>
        </is>
      </c>
      <c r="J384" t="inlineStr"/>
      <c r="K384" t="inlineStr">
        <is>
          <t>鹿児島県大島郡与論町麦屋</t>
        </is>
      </c>
      <c r="L384" s="1">
        <f>HYPERLINK("https://www.hi.u-tokyo.ac.jp/collection/degitalgallary/ryukyu/item/10383", "https://www.hi.u-tokyo.ac.jp/collection/degitalgallary/ryukyu/item/10383")</f>
        <v/>
      </c>
    </row>
    <row r="385">
      <c r="A385" t="inlineStr">
        <is>
          <t>10384</t>
        </is>
      </c>
      <c r="B385" t="inlineStr">
        <is>
          <t>大船出入なし</t>
        </is>
      </c>
      <c r="C385" t="inlineStr">
        <is>
          <t>港湾</t>
        </is>
      </c>
      <c r="D385" t="inlineStr"/>
      <c r="E385" t="inlineStr"/>
      <c r="F385" t="inlineStr">
        <is>
          <t>正保琉球国絵図写</t>
        </is>
      </c>
      <c r="G385" t="inlineStr"/>
      <c r="H385" t="inlineStr"/>
      <c r="I385" t="inlineStr">
        <is>
          <t>310</t>
        </is>
      </c>
      <c r="J385" t="inlineStr"/>
      <c r="K385" t="inlineStr"/>
      <c r="L385" s="1">
        <f>HYPERLINK("https://www.hi.u-tokyo.ac.jp/collection/degitalgallary/ryukyu/item/10384", "https://www.hi.u-tokyo.ac.jp/collection/degitalgallary/ryukyu/item/10384")</f>
        <v/>
      </c>
    </row>
    <row r="386">
      <c r="A386" t="inlineStr">
        <is>
          <t>10385</t>
        </is>
      </c>
      <c r="B386" t="inlineStr">
        <is>
          <t>大船出入なし</t>
        </is>
      </c>
      <c r="C386" t="inlineStr">
        <is>
          <t>港湾</t>
        </is>
      </c>
      <c r="D386" t="inlineStr"/>
      <c r="E386" t="inlineStr"/>
      <c r="F386" t="inlineStr">
        <is>
          <t>正保琉球国絵図写</t>
        </is>
      </c>
      <c r="G386" t="inlineStr"/>
      <c r="H386" t="inlineStr"/>
      <c r="I386" t="inlineStr">
        <is>
          <t>311</t>
        </is>
      </c>
      <c r="J386" t="inlineStr"/>
      <c r="K386" t="inlineStr"/>
      <c r="L386" s="1">
        <f>HYPERLINK("https://www.hi.u-tokyo.ac.jp/collection/degitalgallary/ryukyu/item/10385", "https://www.hi.u-tokyo.ac.jp/collection/degitalgallary/ryukyu/item/10385")</f>
        <v/>
      </c>
    </row>
    <row r="387">
      <c r="A387" t="inlineStr">
        <is>
          <t>10386</t>
        </is>
      </c>
      <c r="B387" t="inlineStr">
        <is>
          <t>大船出入なし</t>
        </is>
      </c>
      <c r="C387" t="inlineStr">
        <is>
          <t>港湾</t>
        </is>
      </c>
      <c r="D387" t="inlineStr"/>
      <c r="E387" t="inlineStr"/>
      <c r="F387" t="inlineStr">
        <is>
          <t>正保琉球国絵図写</t>
        </is>
      </c>
      <c r="G387" t="inlineStr"/>
      <c r="H387" t="inlineStr"/>
      <c r="I387" t="inlineStr">
        <is>
          <t>312</t>
        </is>
      </c>
      <c r="J387" t="inlineStr"/>
      <c r="K387" t="inlineStr"/>
      <c r="L387" s="1">
        <f>HYPERLINK("https://www.hi.u-tokyo.ac.jp/collection/degitalgallary/ryukyu/item/10386", "https://www.hi.u-tokyo.ac.jp/collection/degitalgallary/ryukyu/item/10386")</f>
        <v/>
      </c>
    </row>
    <row r="388">
      <c r="A388" t="inlineStr">
        <is>
          <t>10387</t>
        </is>
      </c>
      <c r="B388" t="inlineStr">
        <is>
          <t>此間四間</t>
        </is>
      </c>
      <c r="C388" t="inlineStr">
        <is>
          <t>その他</t>
        </is>
      </c>
      <c r="D388" t="inlineStr"/>
      <c r="E388" t="inlineStr"/>
      <c r="F388" t="inlineStr">
        <is>
          <t>正保琉球国絵図写</t>
        </is>
      </c>
      <c r="G388" t="inlineStr"/>
      <c r="H388" t="inlineStr"/>
      <c r="I388" t="inlineStr">
        <is>
          <t>313</t>
        </is>
      </c>
      <c r="J388" t="inlineStr"/>
      <c r="K388" t="inlineStr"/>
      <c r="L388" s="1">
        <f>HYPERLINK("https://www.hi.u-tokyo.ac.jp/collection/degitalgallary/ryukyu/item/10387", "https://www.hi.u-tokyo.ac.jp/collection/degitalgallary/ryukyu/item/10387")</f>
        <v/>
      </c>
    </row>
    <row r="389">
      <c r="A389" t="inlineStr">
        <is>
          <t>10388</t>
        </is>
      </c>
      <c r="B389" t="inlineStr">
        <is>
          <t>かね崎</t>
        </is>
      </c>
      <c r="C389" t="inlineStr">
        <is>
          <t>崎</t>
        </is>
      </c>
      <c r="D389" t="inlineStr">
        <is>
          <t>27.049799</t>
        </is>
      </c>
      <c r="E389" t="inlineStr">
        <is>
          <t>128.402182</t>
        </is>
      </c>
      <c r="F389" t="inlineStr">
        <is>
          <t>正保琉球国絵図写</t>
        </is>
      </c>
      <c r="G389" t="inlineStr"/>
      <c r="H389" t="inlineStr"/>
      <c r="I389" t="inlineStr">
        <is>
          <t>314</t>
        </is>
      </c>
      <c r="J389" t="inlineStr"/>
      <c r="K389" t="inlineStr">
        <is>
          <t>鹿児島県大島郡与論町立長</t>
        </is>
      </c>
      <c r="L389" s="1">
        <f>HYPERLINK("https://www.hi.u-tokyo.ac.jp/collection/degitalgallary/ryukyu/item/10388", "https://www.hi.u-tokyo.ac.jp/collection/degitalgallary/ryukyu/item/10388")</f>
        <v/>
      </c>
    </row>
    <row r="390">
      <c r="A390" t="inlineStr">
        <is>
          <t>10389</t>
        </is>
      </c>
      <c r="B390" t="inlineStr">
        <is>
          <t>こはてずの浜</t>
        </is>
      </c>
      <c r="C390" t="inlineStr">
        <is>
          <t>その他</t>
        </is>
      </c>
      <c r="D390" t="inlineStr"/>
      <c r="E390" t="inlineStr"/>
      <c r="F390" t="inlineStr">
        <is>
          <t>正保琉球国絵図写</t>
        </is>
      </c>
      <c r="G390" t="inlineStr"/>
      <c r="H390" t="inlineStr"/>
      <c r="I390" t="inlineStr">
        <is>
          <t>315</t>
        </is>
      </c>
      <c r="J390" t="inlineStr"/>
      <c r="K390" t="inlineStr"/>
      <c r="L390" s="1">
        <f>HYPERLINK("https://www.hi.u-tokyo.ac.jp/collection/degitalgallary/ryukyu/item/10389", "https://www.hi.u-tokyo.ac.jp/collection/degitalgallary/ryukyu/item/10389")</f>
        <v/>
      </c>
    </row>
    <row r="391">
      <c r="A391" t="inlineStr">
        <is>
          <t>10390</t>
        </is>
      </c>
      <c r="B391" t="inlineStr">
        <is>
          <t>あがさ泊</t>
        </is>
      </c>
      <c r="C391" t="inlineStr">
        <is>
          <t>港湾</t>
        </is>
      </c>
      <c r="D391" t="inlineStr">
        <is>
          <t>27.0504243</t>
        </is>
      </c>
      <c r="E391" t="inlineStr">
        <is>
          <t>128.4030181</t>
        </is>
      </c>
      <c r="F391" t="inlineStr">
        <is>
          <t>正保琉球国絵図写</t>
        </is>
      </c>
      <c r="G391" t="inlineStr">
        <is>
          <t>此あがさ泊、入弐町、広さハ三町、干汐ニ深さ三尋、水底惣はへにて船繋り不自由、西風北風ノ時船繋り不成</t>
        </is>
      </c>
      <c r="H391" t="inlineStr"/>
      <c r="I391" t="inlineStr">
        <is>
          <t>316</t>
        </is>
      </c>
      <c r="J391" t="inlineStr"/>
      <c r="K391" t="inlineStr">
        <is>
          <t>鹿児島県大島郡与論町立長</t>
        </is>
      </c>
      <c r="L391" s="1">
        <f>HYPERLINK("https://www.hi.u-tokyo.ac.jp/collection/degitalgallary/ryukyu/item/10390", "https://www.hi.u-tokyo.ac.jp/collection/degitalgallary/ryukyu/item/10390")</f>
        <v/>
      </c>
    </row>
    <row r="392">
      <c r="A392" t="inlineStr">
        <is>
          <t>10391</t>
        </is>
      </c>
      <c r="B392" t="inlineStr">
        <is>
          <t>あがさ泊より悪鬼納嶋迄、海上廿里未申之間ニ当ル、此渡昼夜共ニ汐東へ落ル</t>
        </is>
      </c>
      <c r="C392" t="inlineStr">
        <is>
          <t>航路</t>
        </is>
      </c>
      <c r="D392" t="inlineStr"/>
      <c r="E392" t="inlineStr"/>
      <c r="F392" t="inlineStr">
        <is>
          <t>正保琉球国絵図写</t>
        </is>
      </c>
      <c r="G392" t="inlineStr"/>
      <c r="H392" t="inlineStr"/>
      <c r="I392" t="inlineStr">
        <is>
          <t>317</t>
        </is>
      </c>
      <c r="J392" t="inlineStr"/>
      <c r="K392" t="inlineStr"/>
      <c r="L392" s="1">
        <f>HYPERLINK("https://www.hi.u-tokyo.ac.jp/collection/degitalgallary/ryukyu/item/10391", "https://www.hi.u-tokyo.ac.jp/collection/degitalgallary/ryukyu/item/10391")</f>
        <v/>
      </c>
    </row>
    <row r="393">
      <c r="A393" t="inlineStr">
        <is>
          <t>10392</t>
        </is>
      </c>
      <c r="B393" t="inlineStr">
        <is>
          <t>（合印）</t>
        </is>
      </c>
      <c r="C393" t="inlineStr">
        <is>
          <t>その他</t>
        </is>
      </c>
      <c r="D393" t="inlineStr"/>
      <c r="E393" t="inlineStr"/>
      <c r="F393" t="inlineStr">
        <is>
          <t>正保琉球国絵図写</t>
        </is>
      </c>
      <c r="G393" t="inlineStr"/>
      <c r="H393" t="inlineStr">
        <is>
          <t>◇</t>
        </is>
      </c>
      <c r="I393" t="inlineStr"/>
      <c r="J393" t="inlineStr"/>
      <c r="K393" t="inlineStr"/>
      <c r="L393" s="1">
        <f>HYPERLINK("https://www.hi.u-tokyo.ac.jp/collection/degitalgallary/ryukyu/item/10392", "https://www.hi.u-tokyo.ac.jp/collection/degitalgallary/ryukyu/item/10392")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2021-12-02T05:58:56Z</dcterms:created>
  <dcterms:modified xmlns:dcterms="http://purl.org/dc/terms/" xmlns:xsi="http://www.w3.org/2001/XMLSchema-instance" xsi:type="dcterms:W3CDTF">2021-12-02T05:58:56Z</dcterms:modified>
</cp:coreProperties>
</file>